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<sst xmlns="http://schemas.openxmlformats.org/spreadsheetml/2006/main" count="124" uniqueCount="36">
  <si>
    <t>Fine Structure Energy Levels for Si 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</si>
  <si>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</si>
  <si>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</si>
  <si>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</si>
  <si>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</si>
  <si>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</si>
  <si>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</si>
  <si>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</si>
  <si>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</si>
  <si>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</si>
  <si>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</si>
  <si>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</si>
  <si>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</si>
  <si>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</si>
  <si>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</si>
  <si>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</si>
  <si>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</si>
  <si>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</si>
  <si>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</si>
  <si>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</si>
  <si>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</si>
  <si>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</si>
  <si>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2s2.2p3s</t>
  </si>
  <si>
    <t>2s2.2p3p</t>
  </si>
  <si>
    <t>2s2.2p3d</t>
  </si>
  <si>
    <t>3F</t>
  </si>
  <si>
    <t>1F</t>
  </si>
  <si>
    <t>A-values for fine-structure transitions in Si IX</t>
  </si>
  <si>
    <t>k</t>
  </si>
  <si>
    <t>WL Vac (A)</t>
  </si>
  <si>
    <t>A (s-1)</t>
  </si>
  <si>
    <t>A2E1(s-1)</t>
  </si>
  <si>
    <t>Effective Collision Strengths for Si 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</si>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</sst>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9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HYPERLINK("http://141.218.60.56/~jnz1568/getInfo.php?workbook=14_06.xlsx&amp;sheet=E0&amp;row=4&amp;col=10&amp;number=0&amp;sourceID=14","0")</f>
        <v>0</v>
      </c>
    </row>
    <row r="5" spans="1:10">
      <c r="A5" s="3">
        <v>14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HYPERLINK("http://141.218.60.56/~jnz1568/getInfo.php?workbook=14_06.xlsx&amp;sheet=E0&amp;row=5&amp;col=10&amp;number=2546&amp;sourceID=14","2546")</f>
        <v>2546</v>
      </c>
    </row>
    <row r="6" spans="1:10">
      <c r="A6" s="3">
        <v>14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HYPERLINK("http://141.218.60.56/~jnz1568/getInfo.php?workbook=14_06.xlsx&amp;sheet=E0&amp;row=6&amp;col=10&amp;number=6415&amp;sourceID=14","6415")</f>
        <v>6415</v>
      </c>
    </row>
    <row r="7" spans="1:10">
      <c r="A7" s="3">
        <v>14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HYPERLINK("http://141.218.60.56/~jnz1568/getInfo.php?workbook=14_06.xlsx&amp;sheet=E0&amp;row=7&amp;col=10&amp;number=52927&amp;sourceID=14","52927")</f>
        <v>52927</v>
      </c>
    </row>
    <row r="8" spans="1:10">
      <c r="A8" s="3">
        <v>14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HYPERLINK("http://141.218.60.56/~jnz1568/getInfo.php?workbook=14_06.xlsx&amp;sheet=E0&amp;row=8&amp;col=10&amp;number=107792&amp;sourceID=14","107792")</f>
        <v>107792</v>
      </c>
    </row>
    <row r="9" spans="1:10">
      <c r="A9" s="3">
        <v>14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HYPERLINK("http://141.218.60.56/~jnz1568/getInfo.php?workbook=14_06.xlsx&amp;sheet=E0&amp;row=9&amp;col=10&amp;number=150364&amp;sourceID=14","150364")</f>
        <v>150364</v>
      </c>
    </row>
    <row r="10" spans="1:10">
      <c r="A10" s="3">
        <v>14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HYPERLINK("http://141.218.60.56/~jnz1568/getInfo.php?workbook=14_06.xlsx&amp;sheet=E0&amp;row=10&amp;col=10&amp;number=292300&amp;sourceID=14","292300")</f>
        <v>292300</v>
      </c>
    </row>
    <row r="11" spans="1:10">
      <c r="A11" s="3">
        <v>14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1</v>
      </c>
      <c r="J11" s="4" t="str">
        <f>HYPERLINK("http://141.218.60.56/~jnz1568/getInfo.php?workbook=14_06.xlsx&amp;sheet=E0&amp;row=11&amp;col=10&amp;number=292440&amp;sourceID=14","292440")</f>
        <v>292440</v>
      </c>
    </row>
    <row r="12" spans="1:10">
      <c r="A12" s="3">
        <v>14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HYPERLINK("http://141.218.60.56/~jnz1568/getInfo.php?workbook=14_06.xlsx&amp;sheet=E0&amp;row=12&amp;col=10&amp;number=292244&amp;sourceID=14","292244")</f>
        <v>292244</v>
      </c>
    </row>
    <row r="13" spans="1:10">
      <c r="A13" s="3">
        <v>14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HYPERLINK("http://141.218.60.56/~jnz1568/getInfo.php?workbook=14_06.xlsx&amp;sheet=E0&amp;row=13&amp;col=10&amp;number=344066&amp;sourceID=14","344066")</f>
        <v>344066</v>
      </c>
    </row>
    <row r="14" spans="1:10">
      <c r="A14" s="3">
        <v>14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HYPERLINK("http://141.218.60.56/~jnz1568/getInfo.php?workbook=14_06.xlsx&amp;sheet=E0&amp;row=14&amp;col=10&amp;number=344013&amp;sourceID=14","344013")</f>
        <v>344013</v>
      </c>
    </row>
    <row r="15" spans="1:10">
      <c r="A15" s="3">
        <v>14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HYPERLINK("http://141.218.60.56/~jnz1568/getInfo.php?workbook=14_06.xlsx&amp;sheet=E0&amp;row=15&amp;col=10&amp;number=344124&amp;sourceID=14","344124")</f>
        <v>344124</v>
      </c>
    </row>
    <row r="16" spans="1:10">
      <c r="A16" s="3">
        <v>14</v>
      </c>
      <c r="B16" s="3">
        <v>6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HYPERLINK("http://141.218.60.56/~jnz1568/getInfo.php?workbook=14_06.xlsx&amp;sheet=E0&amp;row=16&amp;col=10&amp;number=440401&amp;sourceID=14","440401")</f>
        <v>440401</v>
      </c>
    </row>
    <row r="17" spans="1:10">
      <c r="A17" s="3">
        <v>14</v>
      </c>
      <c r="B17" s="3">
        <v>6</v>
      </c>
      <c r="C17" s="3">
        <v>14</v>
      </c>
      <c r="D17" s="3" t="s">
        <v>16</v>
      </c>
      <c r="E17" s="3" t="s">
        <v>19</v>
      </c>
      <c r="F17" s="3">
        <v>3</v>
      </c>
      <c r="G17" s="3">
        <v>0</v>
      </c>
      <c r="H17" s="3">
        <v>0</v>
      </c>
      <c r="I17" s="3">
        <v>1</v>
      </c>
      <c r="J17" s="4" t="str">
        <f>HYPERLINK("http://141.218.60.56/~jnz1568/getInfo.php?workbook=14_06.xlsx&amp;sheet=E0&amp;row=17&amp;col=10&amp;number=446941&amp;sourceID=14","446941")</f>
        <v>446941</v>
      </c>
    </row>
    <row r="18" spans="1:10">
      <c r="A18" s="3">
        <v>14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HYPERLINK("http://141.218.60.56/~jnz1568/getInfo.php?workbook=14_06.xlsx&amp;sheet=E0&amp;row=18&amp;col=10&amp;number=492755&amp;sourceID=14","492755")</f>
        <v>492755</v>
      </c>
    </row>
    <row r="19" spans="1:10">
      <c r="A19" s="3">
        <v>14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HYPERLINK("http://141.218.60.56/~jnz1568/getInfo.php?workbook=14_06.xlsx&amp;sheet=E0&amp;row=19&amp;col=10&amp;number=674750&amp;sourceID=14","674750")</f>
        <v>674750</v>
      </c>
    </row>
    <row r="20" spans="1:10">
      <c r="A20" s="3">
        <v>14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HYPERLINK("http://141.218.60.56/~jnz1568/getInfo.php?workbook=14_06.xlsx&amp;sheet=E0&amp;row=20&amp;col=10&amp;number=679302&amp;sourceID=14","679302")</f>
        <v>679302</v>
      </c>
    </row>
    <row r="21" spans="1:10">
      <c r="A21" s="3">
        <v>14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0</v>
      </c>
      <c r="J21" s="4" t="str">
        <f>HYPERLINK("http://141.218.60.56/~jnz1568/getInfo.php?workbook=14_06.xlsx&amp;sheet=E0&amp;row=21&amp;col=10&amp;number=681085&amp;sourceID=14","681085")</f>
        <v>681085</v>
      </c>
    </row>
    <row r="22" spans="1:10">
      <c r="A22" s="3">
        <v>14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HYPERLINK("http://141.218.60.56/~jnz1568/getInfo.php?workbook=14_06.xlsx&amp;sheet=E0&amp;row=22&amp;col=10&amp;number=719510&amp;sourceID=14","719510")</f>
        <v>719510</v>
      </c>
    </row>
    <row r="23" spans="1:10">
      <c r="A23" s="3">
        <v>14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HYPERLINK("http://141.218.60.56/~jnz1568/getInfo.php?workbook=14_06.xlsx&amp;sheet=E0&amp;row=23&amp;col=10&amp;number=819717&amp;sourceID=14","819717")</f>
        <v>819717</v>
      </c>
    </row>
    <row r="24" spans="1:10">
      <c r="A24" s="3">
        <v>14</v>
      </c>
      <c r="B24" s="3">
        <v>6</v>
      </c>
      <c r="C24" s="3">
        <v>21</v>
      </c>
      <c r="D24" s="3" t="s">
        <v>22</v>
      </c>
      <c r="E24" s="3" t="s">
        <v>13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HYPERLINK("http://141.218.60.56/~jnz1568/getInfo.php?workbook=14_06.xlsx&amp;sheet=E0&amp;row=24&amp;col=10&amp;number=0&amp;sourceID=14","0")</f>
        <v>0</v>
      </c>
    </row>
    <row r="25" spans="1:10">
      <c r="A25" s="3">
        <v>14</v>
      </c>
      <c r="B25" s="3">
        <v>6</v>
      </c>
      <c r="C25" s="3">
        <v>22</v>
      </c>
      <c r="D25" s="3" t="s">
        <v>22</v>
      </c>
      <c r="E25" s="3" t="s">
        <v>13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HYPERLINK("http://141.218.60.56/~jnz1568/getInfo.php?workbook=14_06.xlsx&amp;sheet=E0&amp;row=25&amp;col=10&amp;number=1623380&amp;sourceID=14","1623380")</f>
        <v>1623380</v>
      </c>
    </row>
    <row r="26" spans="1:10">
      <c r="A26" s="3">
        <v>14</v>
      </c>
      <c r="B26" s="3">
        <v>6</v>
      </c>
      <c r="C26" s="3">
        <v>23</v>
      </c>
      <c r="D26" s="3" t="s">
        <v>22</v>
      </c>
      <c r="E26" s="3" t="s">
        <v>13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HYPERLINK("http://141.218.60.56/~jnz1568/getInfo.php?workbook=14_06.xlsx&amp;sheet=E0&amp;row=26&amp;col=10&amp;number=1628500&amp;sourceID=14","1628500")</f>
        <v>1628500</v>
      </c>
    </row>
    <row r="27" spans="1:10">
      <c r="A27" s="3">
        <v>14</v>
      </c>
      <c r="B27" s="3">
        <v>6</v>
      </c>
      <c r="C27" s="3">
        <v>24</v>
      </c>
      <c r="D27" s="3" t="s">
        <v>22</v>
      </c>
      <c r="E27" s="3" t="s">
        <v>20</v>
      </c>
      <c r="F27" s="3">
        <v>1</v>
      </c>
      <c r="G27" s="3">
        <v>1</v>
      </c>
      <c r="H27" s="3">
        <v>1</v>
      </c>
      <c r="I27" s="3">
        <v>1</v>
      </c>
      <c r="J27" s="4" t="str">
        <f>HYPERLINK("http://141.218.60.56/~jnz1568/getInfo.php?workbook=14_06.xlsx&amp;sheet=E0&amp;row=27&amp;col=10&amp;number=1640850&amp;sourceID=14","1640850")</f>
        <v>1640850</v>
      </c>
    </row>
    <row r="28" spans="1:10">
      <c r="A28" s="3">
        <v>14</v>
      </c>
      <c r="B28" s="3">
        <v>6</v>
      </c>
      <c r="C28" s="3">
        <v>25</v>
      </c>
      <c r="D28" s="3" t="s">
        <v>23</v>
      </c>
      <c r="E28" s="3" t="s">
        <v>20</v>
      </c>
      <c r="F28" s="3">
        <v>1</v>
      </c>
      <c r="G28" s="3">
        <v>1</v>
      </c>
      <c r="H28" s="3">
        <v>1</v>
      </c>
      <c r="I28" s="3">
        <v>1</v>
      </c>
      <c r="J28" s="4" t="str">
        <f>HYPERLINK("http://141.218.60.56/~jnz1568/getInfo.php?workbook=14_06.xlsx&amp;sheet=E0&amp;row=28&amp;col=10&amp;number=0&amp;sourceID=14","0")</f>
        <v>0</v>
      </c>
    </row>
    <row r="29" spans="1:10">
      <c r="A29" s="3">
        <v>14</v>
      </c>
      <c r="B29" s="3">
        <v>6</v>
      </c>
      <c r="C29" s="3">
        <v>26</v>
      </c>
      <c r="D29" s="3" t="s">
        <v>23</v>
      </c>
      <c r="E29" s="3" t="s">
        <v>18</v>
      </c>
      <c r="F29" s="3">
        <v>3</v>
      </c>
      <c r="G29" s="3">
        <v>2</v>
      </c>
      <c r="H29" s="3">
        <v>0</v>
      </c>
      <c r="I29" s="3">
        <v>1</v>
      </c>
      <c r="J29" s="4" t="str">
        <f>HYPERLINK("http://141.218.60.56/~jnz1568/getInfo.php?workbook=14_06.xlsx&amp;sheet=E0&amp;row=29&amp;col=10&amp;number=0&amp;sourceID=14","0")</f>
        <v>0</v>
      </c>
    </row>
    <row r="30" spans="1:10">
      <c r="A30" s="3">
        <v>14</v>
      </c>
      <c r="B30" s="3">
        <v>6</v>
      </c>
      <c r="C30" s="3">
        <v>27</v>
      </c>
      <c r="D30" s="3" t="s">
        <v>23</v>
      </c>
      <c r="E30" s="3" t="s">
        <v>18</v>
      </c>
      <c r="F30" s="3">
        <v>3</v>
      </c>
      <c r="G30" s="3">
        <v>2</v>
      </c>
      <c r="H30" s="3">
        <v>0</v>
      </c>
      <c r="I30" s="3">
        <v>2</v>
      </c>
      <c r="J30" s="4" t="str">
        <f>HYPERLINK("http://141.218.60.56/~jnz1568/getInfo.php?workbook=14_06.xlsx&amp;sheet=E0&amp;row=30&amp;col=10&amp;number=0&amp;sourceID=14","0")</f>
        <v>0</v>
      </c>
    </row>
    <row r="31" spans="1:10">
      <c r="A31" s="3">
        <v>14</v>
      </c>
      <c r="B31" s="3">
        <v>6</v>
      </c>
      <c r="C31" s="3">
        <v>28</v>
      </c>
      <c r="D31" s="3" t="s">
        <v>23</v>
      </c>
      <c r="E31" s="3" t="s">
        <v>18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HYPERLINK("http://141.218.60.56/~jnz1568/getInfo.php?workbook=14_06.xlsx&amp;sheet=E0&amp;row=31&amp;col=10&amp;number=0&amp;sourceID=14","0")</f>
        <v>0</v>
      </c>
    </row>
    <row r="32" spans="1:10">
      <c r="A32" s="3">
        <v>14</v>
      </c>
      <c r="B32" s="3">
        <v>6</v>
      </c>
      <c r="C32" s="3">
        <v>29</v>
      </c>
      <c r="D32" s="3" t="s">
        <v>23</v>
      </c>
      <c r="E32" s="3" t="s">
        <v>19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HYPERLINK("http://141.218.60.56/~jnz1568/getInfo.php?workbook=14_06.xlsx&amp;sheet=E0&amp;row=32&amp;col=10&amp;number=0&amp;sourceID=14","0")</f>
        <v>0</v>
      </c>
    </row>
    <row r="33" spans="1:10">
      <c r="A33" s="3">
        <v>14</v>
      </c>
      <c r="B33" s="3">
        <v>6</v>
      </c>
      <c r="C33" s="3">
        <v>30</v>
      </c>
      <c r="D33" s="3" t="s">
        <v>23</v>
      </c>
      <c r="E33" s="3" t="s">
        <v>13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HYPERLINK("http://141.218.60.56/~jnz1568/getInfo.php?workbook=14_06.xlsx&amp;sheet=E0&amp;row=33&amp;col=10&amp;number=0&amp;sourceID=14","0")</f>
        <v>0</v>
      </c>
    </row>
    <row r="34" spans="1:10">
      <c r="A34" s="3">
        <v>14</v>
      </c>
      <c r="B34" s="3">
        <v>6</v>
      </c>
      <c r="C34" s="3">
        <v>31</v>
      </c>
      <c r="D34" s="3" t="s">
        <v>23</v>
      </c>
      <c r="E34" s="3" t="s">
        <v>13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HYPERLINK("http://141.218.60.56/~jnz1568/getInfo.php?workbook=14_06.xlsx&amp;sheet=E0&amp;row=34&amp;col=10&amp;number=0&amp;sourceID=14","0")</f>
        <v>0</v>
      </c>
    </row>
    <row r="35" spans="1:10">
      <c r="A35" s="3">
        <v>14</v>
      </c>
      <c r="B35" s="3">
        <v>6</v>
      </c>
      <c r="C35" s="3">
        <v>32</v>
      </c>
      <c r="D35" s="3" t="s">
        <v>23</v>
      </c>
      <c r="E35" s="3" t="s">
        <v>13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HYPERLINK("http://141.218.60.56/~jnz1568/getInfo.php?workbook=14_06.xlsx&amp;sheet=E0&amp;row=35&amp;col=10&amp;number=0&amp;sourceID=14","0")</f>
        <v>0</v>
      </c>
    </row>
    <row r="36" spans="1:10">
      <c r="A36" s="3">
        <v>14</v>
      </c>
      <c r="B36" s="3">
        <v>6</v>
      </c>
      <c r="C36" s="3">
        <v>33</v>
      </c>
      <c r="D36" s="3" t="s">
        <v>23</v>
      </c>
      <c r="E36" s="3" t="s">
        <v>14</v>
      </c>
      <c r="F36" s="3">
        <v>1</v>
      </c>
      <c r="G36" s="3">
        <v>2</v>
      </c>
      <c r="H36" s="3">
        <v>0</v>
      </c>
      <c r="I36" s="3">
        <v>2</v>
      </c>
      <c r="J36" s="4" t="str">
        <f>HYPERLINK("http://141.218.60.56/~jnz1568/getInfo.php?workbook=14_06.xlsx&amp;sheet=E0&amp;row=36&amp;col=10&amp;number=0&amp;sourceID=14","0")</f>
        <v>0</v>
      </c>
    </row>
    <row r="37" spans="1:10">
      <c r="A37" s="3">
        <v>14</v>
      </c>
      <c r="B37" s="3">
        <v>6</v>
      </c>
      <c r="C37" s="3">
        <v>34</v>
      </c>
      <c r="D37" s="3" t="s">
        <v>23</v>
      </c>
      <c r="E37" s="3" t="s">
        <v>15</v>
      </c>
      <c r="F37" s="3">
        <v>1</v>
      </c>
      <c r="G37" s="3">
        <v>0</v>
      </c>
      <c r="H37" s="3">
        <v>0</v>
      </c>
      <c r="I37" s="3">
        <v>0</v>
      </c>
      <c r="J37" s="4" t="str">
        <f>HYPERLINK("http://141.218.60.56/~jnz1568/getInfo.php?workbook=14_06.xlsx&amp;sheet=E0&amp;row=37&amp;col=10&amp;number=0&amp;sourceID=14","0")</f>
        <v>0</v>
      </c>
    </row>
    <row r="38" spans="1:10">
      <c r="A38" s="3">
        <v>14</v>
      </c>
      <c r="B38" s="3">
        <v>6</v>
      </c>
      <c r="C38" s="3">
        <v>35</v>
      </c>
      <c r="D38" s="3" t="s">
        <v>24</v>
      </c>
      <c r="E38" s="3" t="s">
        <v>25</v>
      </c>
      <c r="F38" s="3">
        <v>3</v>
      </c>
      <c r="G38" s="3">
        <v>3</v>
      </c>
      <c r="H38" s="3">
        <v>1</v>
      </c>
      <c r="I38" s="3">
        <v>2</v>
      </c>
      <c r="J38" s="4" t="str">
        <f>HYPERLINK("http://141.218.60.56/~jnz1568/getInfo.php?workbook=14_06.xlsx&amp;sheet=E0&amp;row=38&amp;col=10&amp;number=0&amp;sourceID=14","0")</f>
        <v>0</v>
      </c>
    </row>
    <row r="39" spans="1:10">
      <c r="A39" s="3">
        <v>14</v>
      </c>
      <c r="B39" s="3">
        <v>6</v>
      </c>
      <c r="C39" s="3">
        <v>36</v>
      </c>
      <c r="D39" s="3" t="s">
        <v>24</v>
      </c>
      <c r="E39" s="3" t="s">
        <v>25</v>
      </c>
      <c r="F39" s="3">
        <v>3</v>
      </c>
      <c r="G39" s="3">
        <v>3</v>
      </c>
      <c r="H39" s="3">
        <v>1</v>
      </c>
      <c r="I39" s="3">
        <v>3</v>
      </c>
      <c r="J39" s="4" t="str">
        <f>HYPERLINK("http://141.218.60.56/~jnz1568/getInfo.php?workbook=14_06.xlsx&amp;sheet=E0&amp;row=39&amp;col=10&amp;number=0&amp;sourceID=14","0")</f>
        <v>0</v>
      </c>
    </row>
    <row r="40" spans="1:10">
      <c r="A40" s="3">
        <v>14</v>
      </c>
      <c r="B40" s="3">
        <v>6</v>
      </c>
      <c r="C40" s="3">
        <v>37</v>
      </c>
      <c r="D40" s="3" t="s">
        <v>24</v>
      </c>
      <c r="E40" s="3" t="s">
        <v>14</v>
      </c>
      <c r="F40" s="3">
        <v>1</v>
      </c>
      <c r="G40" s="3">
        <v>2</v>
      </c>
      <c r="H40" s="3">
        <v>0</v>
      </c>
      <c r="I40" s="3">
        <v>2</v>
      </c>
      <c r="J40" s="4" t="str">
        <f>HYPERLINK("http://141.218.60.56/~jnz1568/getInfo.php?workbook=14_06.xlsx&amp;sheet=E0&amp;row=40&amp;col=10&amp;number=1794050&amp;sourceID=14","1794050")</f>
        <v>1794050</v>
      </c>
    </row>
    <row r="41" spans="1:10">
      <c r="A41" s="3">
        <v>14</v>
      </c>
      <c r="B41" s="3">
        <v>6</v>
      </c>
      <c r="C41" s="3">
        <v>38</v>
      </c>
      <c r="D41" s="3" t="s">
        <v>24</v>
      </c>
      <c r="E41" s="3" t="s">
        <v>25</v>
      </c>
      <c r="F41" s="3">
        <v>3</v>
      </c>
      <c r="G41" s="3">
        <v>3</v>
      </c>
      <c r="H41" s="3">
        <v>1</v>
      </c>
      <c r="I41" s="3">
        <v>4</v>
      </c>
      <c r="J41" s="4" t="str">
        <f>HYPERLINK("http://141.218.60.56/~jnz1568/getInfo.php?workbook=14_06.xlsx&amp;sheet=E0&amp;row=41&amp;col=10&amp;number=0&amp;sourceID=14","0")</f>
        <v>0</v>
      </c>
    </row>
    <row r="42" spans="1:10">
      <c r="A42" s="3">
        <v>14</v>
      </c>
      <c r="B42" s="3">
        <v>6</v>
      </c>
      <c r="C42" s="3">
        <v>39</v>
      </c>
      <c r="D42" s="3" t="s">
        <v>24</v>
      </c>
      <c r="E42" s="3" t="s">
        <v>18</v>
      </c>
      <c r="F42" s="3">
        <v>3</v>
      </c>
      <c r="G42" s="3">
        <v>2</v>
      </c>
      <c r="H42" s="3">
        <v>0</v>
      </c>
      <c r="I42" s="3">
        <v>1</v>
      </c>
      <c r="J42" s="4" t="str">
        <f>HYPERLINK("http://141.218.60.56/~jnz1568/getInfo.php?workbook=14_06.xlsx&amp;sheet=E0&amp;row=42&amp;col=10&amp;number=1808160&amp;sourceID=14","1808160")</f>
        <v>1808160</v>
      </c>
    </row>
    <row r="43" spans="1:10">
      <c r="A43" s="3">
        <v>14</v>
      </c>
      <c r="B43" s="3">
        <v>6</v>
      </c>
      <c r="C43" s="3">
        <v>40</v>
      </c>
      <c r="D43" s="3" t="s">
        <v>24</v>
      </c>
      <c r="E43" s="3" t="s">
        <v>18</v>
      </c>
      <c r="F43" s="3">
        <v>3</v>
      </c>
      <c r="G43" s="3">
        <v>2</v>
      </c>
      <c r="H43" s="3">
        <v>0</v>
      </c>
      <c r="I43" s="3">
        <v>2</v>
      </c>
      <c r="J43" s="4" t="str">
        <f>HYPERLINK("http://141.218.60.56/~jnz1568/getInfo.php?workbook=14_06.xlsx&amp;sheet=E0&amp;row=43&amp;col=10&amp;number=1809040&amp;sourceID=14","1809040")</f>
        <v>1809040</v>
      </c>
    </row>
    <row r="44" spans="1:10">
      <c r="A44" s="3">
        <v>14</v>
      </c>
      <c r="B44" s="3">
        <v>6</v>
      </c>
      <c r="C44" s="3">
        <v>41</v>
      </c>
      <c r="D44" s="3" t="s">
        <v>24</v>
      </c>
      <c r="E44" s="3" t="s">
        <v>18</v>
      </c>
      <c r="F44" s="3">
        <v>3</v>
      </c>
      <c r="G44" s="3">
        <v>2</v>
      </c>
      <c r="H44" s="3">
        <v>0</v>
      </c>
      <c r="I44" s="3">
        <v>3</v>
      </c>
      <c r="J44" s="4" t="str">
        <f>HYPERLINK("http://141.218.60.56/~jnz1568/getInfo.php?workbook=14_06.xlsx&amp;sheet=E0&amp;row=44&amp;col=10&amp;number=1811430&amp;sourceID=14","1811430")</f>
        <v>1811430</v>
      </c>
    </row>
    <row r="45" spans="1:10">
      <c r="A45" s="3">
        <v>14</v>
      </c>
      <c r="B45" s="3">
        <v>6</v>
      </c>
      <c r="C45" s="3">
        <v>42</v>
      </c>
      <c r="D45" s="3" t="s">
        <v>24</v>
      </c>
      <c r="E45" s="3" t="s">
        <v>13</v>
      </c>
      <c r="F45" s="3">
        <v>3</v>
      </c>
      <c r="G45" s="3">
        <v>1</v>
      </c>
      <c r="H45" s="3">
        <v>1</v>
      </c>
      <c r="I45" s="3">
        <v>2</v>
      </c>
      <c r="J45" s="4" t="str">
        <f>HYPERLINK("http://141.218.60.56/~jnz1568/getInfo.php?workbook=14_06.xlsx&amp;sheet=E0&amp;row=45&amp;col=10&amp;number=1815650&amp;sourceID=14","1815650")</f>
        <v>1815650</v>
      </c>
    </row>
    <row r="46" spans="1:10">
      <c r="A46" s="3">
        <v>14</v>
      </c>
      <c r="B46" s="3">
        <v>6</v>
      </c>
      <c r="C46" s="3">
        <v>43</v>
      </c>
      <c r="D46" s="3" t="s">
        <v>24</v>
      </c>
      <c r="E46" s="3" t="s">
        <v>13</v>
      </c>
      <c r="F46" s="3">
        <v>3</v>
      </c>
      <c r="G46" s="3">
        <v>1</v>
      </c>
      <c r="H46" s="3">
        <v>1</v>
      </c>
      <c r="I46" s="3">
        <v>1</v>
      </c>
      <c r="J46" s="4" t="str">
        <f>HYPERLINK("http://141.218.60.56/~jnz1568/getInfo.php?workbook=14_06.xlsx&amp;sheet=E0&amp;row=46&amp;col=10&amp;number=1816900&amp;sourceID=14","1816900")</f>
        <v>1816900</v>
      </c>
    </row>
    <row r="47" spans="1:10">
      <c r="A47" s="3">
        <v>14</v>
      </c>
      <c r="B47" s="3">
        <v>6</v>
      </c>
      <c r="C47" s="3">
        <v>44</v>
      </c>
      <c r="D47" s="3" t="s">
        <v>24</v>
      </c>
      <c r="E47" s="3" t="s">
        <v>13</v>
      </c>
      <c r="F47" s="3">
        <v>3</v>
      </c>
      <c r="G47" s="3">
        <v>1</v>
      </c>
      <c r="H47" s="3">
        <v>1</v>
      </c>
      <c r="I47" s="3">
        <v>0</v>
      </c>
      <c r="J47" s="4" t="str">
        <f>HYPERLINK("http://141.218.60.56/~jnz1568/getInfo.php?workbook=14_06.xlsx&amp;sheet=E0&amp;row=47&amp;col=10&amp;number=1817630&amp;sourceID=14","1817630")</f>
        <v>1817630</v>
      </c>
    </row>
    <row r="48" spans="1:10">
      <c r="A48" s="3">
        <v>14</v>
      </c>
      <c r="B48" s="3">
        <v>6</v>
      </c>
      <c r="C48" s="3">
        <v>45</v>
      </c>
      <c r="D48" s="3" t="s">
        <v>24</v>
      </c>
      <c r="E48" s="3" t="s">
        <v>20</v>
      </c>
      <c r="F48" s="3">
        <v>1</v>
      </c>
      <c r="G48" s="3">
        <v>1</v>
      </c>
      <c r="H48" s="3">
        <v>1</v>
      </c>
      <c r="I48" s="3">
        <v>1</v>
      </c>
      <c r="J48" s="4" t="str">
        <f>HYPERLINK("http://141.218.60.56/~jnz1568/getInfo.php?workbook=14_06.xlsx&amp;sheet=E0&amp;row=48&amp;col=10&amp;number=1838560&amp;sourceID=14","1838560")</f>
        <v>1838560</v>
      </c>
    </row>
    <row r="49" spans="1:10">
      <c r="A49" s="3">
        <v>14</v>
      </c>
      <c r="B49" s="3">
        <v>6</v>
      </c>
      <c r="C49" s="3">
        <v>46</v>
      </c>
      <c r="D49" s="3" t="s">
        <v>24</v>
      </c>
      <c r="E49" s="3" t="s">
        <v>26</v>
      </c>
      <c r="F49" s="3">
        <v>1</v>
      </c>
      <c r="G49" s="3">
        <v>3</v>
      </c>
      <c r="H49" s="3">
        <v>1</v>
      </c>
      <c r="I49" s="3">
        <v>3</v>
      </c>
      <c r="J49" s="4" t="str">
        <f>HYPERLINK("http://141.218.60.56/~jnz1568/getInfo.php?workbook=14_06.xlsx&amp;sheet=E0&amp;row=49&amp;col=10&amp;number=1837780&amp;sourceID=14","1837780")</f>
        <v>1837780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6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14</v>
      </c>
      <c r="B4" s="3">
        <v>6</v>
      </c>
      <c r="C4" s="3">
        <v>2</v>
      </c>
      <c r="D4" s="3">
        <v>1</v>
      </c>
      <c r="E4" s="3">
        <v>39277.371</v>
      </c>
      <c r="F4" s="4" t="str">
        <f>HYPERLINK("http://141.218.60.56/~jnz1568/getInfo.php?workbook=14_06.xlsx&amp;sheet=A0&amp;row=4&amp;col=6&amp;number=0.2958&amp;sourceID=14","0.2958")</f>
        <v>0.2958</v>
      </c>
      <c r="G4" s="4" t="str">
        <f>HYPERLINK("http://141.218.60.56/~jnz1568/getInfo.php?workbook=14_06.xlsx&amp;sheet=A0&amp;row=4&amp;col=7&amp;number=0&amp;sourceID=14","0")</f>
        <v>0</v>
      </c>
    </row>
    <row r="5" spans="1:7">
      <c r="A5" s="3">
        <v>14</v>
      </c>
      <c r="B5" s="3">
        <v>6</v>
      </c>
      <c r="C5" s="3">
        <v>3</v>
      </c>
      <c r="D5" s="3">
        <v>1</v>
      </c>
      <c r="E5" s="3">
        <v>15588.493</v>
      </c>
      <c r="F5" s="4" t="str">
        <f>HYPERLINK("http://141.218.60.56/~jnz1568/getInfo.php?workbook=14_06.xlsx&amp;sheet=A0&amp;row=5&amp;col=6&amp;number=5.242e-06&amp;sourceID=14","5.242e-06")</f>
        <v>5.242e-06</v>
      </c>
      <c r="G5" s="4" t="str">
        <f>HYPERLINK("http://141.218.60.56/~jnz1568/getInfo.php?workbook=14_06.xlsx&amp;sheet=A0&amp;row=5&amp;col=7&amp;number=0&amp;sourceID=14","0")</f>
        <v>0</v>
      </c>
    </row>
    <row r="6" spans="1:7">
      <c r="A6" s="3">
        <v>14</v>
      </c>
      <c r="B6" s="3">
        <v>6</v>
      </c>
      <c r="C6" s="3">
        <v>3</v>
      </c>
      <c r="D6" s="3">
        <v>2</v>
      </c>
      <c r="E6" s="3">
        <v>25846.519</v>
      </c>
      <c r="F6" s="4" t="str">
        <f>HYPERLINK("http://141.218.60.56/~jnz1568/getInfo.php?workbook=14_06.xlsx&amp;sheet=A0&amp;row=6&amp;col=6&amp;number=0.7777&amp;sourceID=14","0.7777")</f>
        <v>0.7777</v>
      </c>
      <c r="G6" s="4" t="str">
        <f>HYPERLINK("http://141.218.60.56/~jnz1568/getInfo.php?workbook=14_06.xlsx&amp;sheet=A0&amp;row=6&amp;col=7&amp;number=0&amp;sourceID=14","0")</f>
        <v>0</v>
      </c>
    </row>
    <row r="7" spans="1:7">
      <c r="A7" s="3">
        <v>14</v>
      </c>
      <c r="B7" s="3">
        <v>6</v>
      </c>
      <c r="C7" s="3">
        <v>4</v>
      </c>
      <c r="D7" s="3">
        <v>1</v>
      </c>
      <c r="E7" s="3">
        <v>1889.398</v>
      </c>
      <c r="F7" s="4" t="str">
        <f>HYPERLINK("http://141.218.60.56/~jnz1568/getInfo.php?workbook=14_06.xlsx&amp;sheet=A0&amp;row=7&amp;col=6&amp;number=0.0005027&amp;sourceID=14","0.0005027")</f>
        <v>0.0005027</v>
      </c>
      <c r="G7" s="4" t="str">
        <f>HYPERLINK("http://141.218.60.56/~jnz1568/getInfo.php?workbook=14_06.xlsx&amp;sheet=A0&amp;row=7&amp;col=7&amp;number=0&amp;sourceID=14","0")</f>
        <v>0</v>
      </c>
    </row>
    <row r="8" spans="1:7">
      <c r="A8" s="3">
        <v>14</v>
      </c>
      <c r="B8" s="3">
        <v>6</v>
      </c>
      <c r="C8" s="3">
        <v>4</v>
      </c>
      <c r="D8" s="3">
        <v>2</v>
      </c>
      <c r="E8" s="3">
        <v>1984.879</v>
      </c>
      <c r="F8" s="4" t="str">
        <f>HYPERLINK("http://141.218.60.56/~jnz1568/getInfo.php?workbook=14_06.xlsx&amp;sheet=A0&amp;row=8&amp;col=6&amp;number=7.535&amp;sourceID=14","7.535")</f>
        <v>7.535</v>
      </c>
      <c r="G8" s="4" t="str">
        <f>HYPERLINK("http://141.218.60.56/~jnz1568/getInfo.php?workbook=14_06.xlsx&amp;sheet=A0&amp;row=8&amp;col=7&amp;number=0&amp;sourceID=14","0")</f>
        <v>0</v>
      </c>
    </row>
    <row r="9" spans="1:7">
      <c r="A9" s="3">
        <v>14</v>
      </c>
      <c r="B9" s="3">
        <v>6</v>
      </c>
      <c r="C9" s="3">
        <v>4</v>
      </c>
      <c r="D9" s="3">
        <v>3</v>
      </c>
      <c r="E9" s="3">
        <v>2149.987</v>
      </c>
      <c r="F9" s="4" t="str">
        <f>HYPERLINK("http://141.218.60.56/~jnz1568/getInfo.php?workbook=14_06.xlsx&amp;sheet=A0&amp;row=9&amp;col=6&amp;number=17.72&amp;sourceID=14","17.72")</f>
        <v>17.72</v>
      </c>
      <c r="G9" s="4" t="str">
        <f>HYPERLINK("http://141.218.60.56/~jnz1568/getInfo.php?workbook=14_06.xlsx&amp;sheet=A0&amp;row=9&amp;col=7&amp;number=0&amp;sourceID=14","0")</f>
        <v>0</v>
      </c>
    </row>
    <row r="10" spans="1:7">
      <c r="A10" s="3">
        <v>14</v>
      </c>
      <c r="B10" s="3">
        <v>6</v>
      </c>
      <c r="C10" s="3">
        <v>5</v>
      </c>
      <c r="D10" s="3">
        <v>2</v>
      </c>
      <c r="E10" s="3">
        <v>950.157</v>
      </c>
      <c r="F10" s="4" t="str">
        <f>HYPERLINK("http://141.218.60.56/~jnz1568/getInfo.php?workbook=14_06.xlsx&amp;sheet=A0&amp;row=10&amp;col=6&amp;number=206.4&amp;sourceID=14","206.4")</f>
        <v>206.4</v>
      </c>
      <c r="G10" s="4" t="str">
        <f>HYPERLINK("http://141.218.60.56/~jnz1568/getInfo.php?workbook=14_06.xlsx&amp;sheet=A0&amp;row=10&amp;col=7&amp;number=0&amp;sourceID=14","0")</f>
        <v>0</v>
      </c>
    </row>
    <row r="11" spans="1:7">
      <c r="A11" s="3">
        <v>14</v>
      </c>
      <c r="B11" s="3">
        <v>6</v>
      </c>
      <c r="C11" s="3">
        <v>5</v>
      </c>
      <c r="D11" s="3">
        <v>3</v>
      </c>
      <c r="E11" s="3">
        <v>986.419</v>
      </c>
      <c r="F11" s="4" t="str">
        <f>HYPERLINK("http://141.218.60.56/~jnz1568/getInfo.php?workbook=14_06.xlsx&amp;sheet=A0&amp;row=11&amp;col=6&amp;number=0.1509&amp;sourceID=14","0.1509")</f>
        <v>0.1509</v>
      </c>
      <c r="G11" s="4" t="str">
        <f>HYPERLINK("http://141.218.60.56/~jnz1568/getInfo.php?workbook=14_06.xlsx&amp;sheet=A0&amp;row=11&amp;col=7&amp;number=0&amp;sourceID=14","0")</f>
        <v>0</v>
      </c>
    </row>
    <row r="12" spans="1:7">
      <c r="A12" s="3">
        <v>14</v>
      </c>
      <c r="B12" s="3">
        <v>6</v>
      </c>
      <c r="C12" s="3">
        <v>5</v>
      </c>
      <c r="D12" s="3">
        <v>4</v>
      </c>
      <c r="E12" s="3">
        <v>1822.659</v>
      </c>
      <c r="F12" s="4" t="str">
        <f>HYPERLINK("http://141.218.60.56/~jnz1568/getInfo.php?workbook=14_06.xlsx&amp;sheet=A0&amp;row=12&amp;col=6&amp;number=5.154&amp;sourceID=14","5.154")</f>
        <v>5.154</v>
      </c>
      <c r="G12" s="4" t="str">
        <f>HYPERLINK("http://141.218.60.56/~jnz1568/getInfo.php?workbook=14_06.xlsx&amp;sheet=A0&amp;row=12&amp;col=7&amp;number=0&amp;sourceID=14","0")</f>
        <v>0</v>
      </c>
    </row>
    <row r="13" spans="1:7">
      <c r="A13" s="3">
        <v>14</v>
      </c>
      <c r="B13" s="3">
        <v>6</v>
      </c>
      <c r="C13" s="3">
        <v>8</v>
      </c>
      <c r="D13" s="3">
        <v>1</v>
      </c>
      <c r="E13" s="3">
        <v>341.951</v>
      </c>
      <c r="F13" s="4" t="str">
        <f>HYPERLINK("http://141.218.60.56/~jnz1568/getInfo.php?workbook=14_06.xlsx&amp;sheet=A0&amp;row=13&amp;col=6&amp;number=1590000000&amp;sourceID=14","1590000000")</f>
        <v>1590000000</v>
      </c>
      <c r="G13" s="4" t="str">
        <f>HYPERLINK("http://141.218.60.56/~jnz1568/getInfo.php?workbook=14_06.xlsx&amp;sheet=A0&amp;row=13&amp;col=7&amp;number=0&amp;sourceID=14","0")</f>
        <v>0</v>
      </c>
    </row>
    <row r="14" spans="1:7">
      <c r="A14" s="3">
        <v>14</v>
      </c>
      <c r="B14" s="3">
        <v>6</v>
      </c>
      <c r="C14" s="3">
        <v>11</v>
      </c>
      <c r="D14" s="3">
        <v>1</v>
      </c>
      <c r="E14" s="3">
        <v>290.687</v>
      </c>
      <c r="F14" s="4" t="str">
        <f>HYPERLINK("http://141.218.60.56/~jnz1568/getInfo.php?workbook=14_06.xlsx&amp;sheet=A0&amp;row=14&amp;col=6&amp;number=2180000000&amp;sourceID=14","2180000000")</f>
        <v>2180000000</v>
      </c>
      <c r="G14" s="4" t="str">
        <f>HYPERLINK("http://141.218.60.56/~jnz1568/getInfo.php?workbook=14_06.xlsx&amp;sheet=A0&amp;row=14&amp;col=7&amp;number=0&amp;sourceID=14","0")</f>
        <v>0</v>
      </c>
    </row>
    <row r="15" spans="1:7">
      <c r="A15" s="3">
        <v>14</v>
      </c>
      <c r="B15" s="3">
        <v>6</v>
      </c>
      <c r="C15" s="3">
        <v>14</v>
      </c>
      <c r="D15" s="3">
        <v>1</v>
      </c>
      <c r="E15" s="3">
        <v>223.744</v>
      </c>
      <c r="F15" s="4" t="str">
        <f>HYPERLINK("http://141.218.60.56/~jnz1568/getInfo.php?workbook=14_06.xlsx&amp;sheet=A0&amp;row=15&amp;col=6&amp;number=4620000000&amp;sourceID=14","4620000000")</f>
        <v>4620000000</v>
      </c>
      <c r="G15" s="4" t="str">
        <f>HYPERLINK("http://141.218.60.56/~jnz1568/getInfo.php?workbook=14_06.xlsx&amp;sheet=A0&amp;row=15&amp;col=7&amp;number=0&amp;sourceID=14","0")</f>
        <v>0</v>
      </c>
    </row>
    <row r="16" spans="1:7">
      <c r="A16" s="3">
        <v>14</v>
      </c>
      <c r="B16" s="3">
        <v>6</v>
      </c>
      <c r="C16" s="3">
        <v>15</v>
      </c>
      <c r="D16" s="3">
        <v>1</v>
      </c>
      <c r="E16" s="3">
        <v>202.941</v>
      </c>
      <c r="F16" s="4" t="str">
        <f>HYPERLINK("http://141.218.60.56/~jnz1568/getInfo.php?workbook=14_06.xlsx&amp;sheet=A0&amp;row=16&amp;col=6&amp;number=932000&amp;sourceID=14","932000")</f>
        <v>932000</v>
      </c>
      <c r="G16" s="4" t="str">
        <f>HYPERLINK("http://141.218.60.56/~jnz1568/getInfo.php?workbook=14_06.xlsx&amp;sheet=A0&amp;row=16&amp;col=7&amp;number=0&amp;sourceID=14","0")</f>
        <v>0</v>
      </c>
    </row>
    <row r="17" spans="1:7">
      <c r="A17" s="3">
        <v>14</v>
      </c>
      <c r="B17" s="3">
        <v>6</v>
      </c>
      <c r="C17" s="3">
        <v>22</v>
      </c>
      <c r="D17" s="3">
        <v>1</v>
      </c>
      <c r="E17" s="3">
        <v>61.6</v>
      </c>
      <c r="F17" s="4" t="str">
        <f>HYPERLINK("http://141.218.60.56/~jnz1568/getInfo.php?workbook=14_06.xlsx&amp;sheet=A0&amp;row=17&amp;col=6&amp;number=32300000000&amp;sourceID=14","32300000000")</f>
        <v>32300000000</v>
      </c>
      <c r="G17" s="4" t="str">
        <f>HYPERLINK("http://141.218.60.56/~jnz1568/getInfo.php?workbook=14_06.xlsx&amp;sheet=A0&amp;row=17&amp;col=7&amp;number=0&amp;sourceID=14","0")</f>
        <v>0</v>
      </c>
    </row>
    <row r="18" spans="1:7">
      <c r="A18" s="3">
        <v>14</v>
      </c>
      <c r="B18" s="3">
        <v>6</v>
      </c>
      <c r="C18" s="3">
        <v>24</v>
      </c>
      <c r="D18" s="3">
        <v>1</v>
      </c>
      <c r="E18" s="3">
        <v>60.944</v>
      </c>
      <c r="F18" s="4" t="str">
        <f>HYPERLINK("http://141.218.60.56/~jnz1568/getInfo.php?workbook=14_06.xlsx&amp;sheet=A0&amp;row=18&amp;col=6&amp;number=483000000&amp;sourceID=14","483000000")</f>
        <v>483000000</v>
      </c>
      <c r="G18" s="4" t="str">
        <f>HYPERLINK("http://141.218.60.56/~jnz1568/getInfo.php?workbook=14_06.xlsx&amp;sheet=A0&amp;row=18&amp;col=7&amp;number=0&amp;sourceID=14","0")</f>
        <v>0</v>
      </c>
    </row>
    <row r="19" spans="1:7">
      <c r="A19" s="3">
        <v>14</v>
      </c>
      <c r="B19" s="3">
        <v>6</v>
      </c>
      <c r="C19" s="3">
        <v>27</v>
      </c>
      <c r="D19" s="3">
        <v>1</v>
      </c>
      <c r="E19" s="3">
        <v>-57.94</v>
      </c>
      <c r="F19" s="4" t="str">
        <f>HYPERLINK("http://141.218.60.56/~jnz1568/getInfo.php?workbook=14_06.xlsx&amp;sheet=A0&amp;row=19&amp;col=6&amp;number=8510000&amp;sourceID=14","8510000")</f>
        <v>8510000</v>
      </c>
      <c r="G19" s="4" t="str">
        <f>HYPERLINK("http://141.218.60.56/~jnz1568/getInfo.php?workbook=14_06.xlsx&amp;sheet=A0&amp;row=19&amp;col=7&amp;number=0&amp;sourceID=14","0")</f>
        <v>0</v>
      </c>
    </row>
    <row r="20" spans="1:7">
      <c r="A20" s="3">
        <v>14</v>
      </c>
      <c r="B20" s="3">
        <v>6</v>
      </c>
      <c r="C20" s="3">
        <v>32</v>
      </c>
      <c r="D20" s="3">
        <v>1</v>
      </c>
      <c r="E20" s="3">
        <v>-56.942</v>
      </c>
      <c r="F20" s="4" t="str">
        <f>HYPERLINK("http://141.218.60.56/~jnz1568/getInfo.php?workbook=14_06.xlsx&amp;sheet=A0&amp;row=20&amp;col=6&amp;number=2390000&amp;sourceID=14","2390000")</f>
        <v>2390000</v>
      </c>
      <c r="G20" s="4" t="str">
        <f>HYPERLINK("http://141.218.60.56/~jnz1568/getInfo.php?workbook=14_06.xlsx&amp;sheet=A0&amp;row=20&amp;col=7&amp;number=0&amp;sourceID=14","0")</f>
        <v>0</v>
      </c>
    </row>
    <row r="21" spans="1:7">
      <c r="A21" s="3">
        <v>14</v>
      </c>
      <c r="B21" s="3">
        <v>6</v>
      </c>
      <c r="C21" s="3">
        <v>33</v>
      </c>
      <c r="D21" s="3">
        <v>1</v>
      </c>
      <c r="E21" s="3">
        <v>-56.396</v>
      </c>
      <c r="F21" s="4" t="str">
        <f>HYPERLINK("http://141.218.60.56/~jnz1568/getInfo.php?workbook=14_06.xlsx&amp;sheet=A0&amp;row=21&amp;col=6&amp;number=11300&amp;sourceID=14","11300")</f>
        <v>11300</v>
      </c>
      <c r="G21" s="4" t="str">
        <f>HYPERLINK("http://141.218.60.56/~jnz1568/getInfo.php?workbook=14_06.xlsx&amp;sheet=A0&amp;row=21&amp;col=7&amp;number=0&amp;sourceID=14","0")</f>
        <v>0</v>
      </c>
    </row>
    <row r="22" spans="1:7">
      <c r="A22" s="3">
        <v>14</v>
      </c>
      <c r="B22" s="3">
        <v>6</v>
      </c>
      <c r="C22" s="3">
        <v>39</v>
      </c>
      <c r="D22" s="3">
        <v>1</v>
      </c>
      <c r="E22" s="3">
        <v>55.305</v>
      </c>
      <c r="F22" s="4" t="str">
        <f>HYPERLINK("http://141.218.60.56/~jnz1568/getInfo.php?workbook=14_06.xlsx&amp;sheet=A0&amp;row=22&amp;col=6&amp;number=778000000000&amp;sourceID=14","778000000000")</f>
        <v>778000000000</v>
      </c>
      <c r="G22" s="4" t="str">
        <f>HYPERLINK("http://141.218.60.56/~jnz1568/getInfo.php?workbook=14_06.xlsx&amp;sheet=A0&amp;row=22&amp;col=7&amp;number=0&amp;sourceID=14","0")</f>
        <v>0</v>
      </c>
    </row>
    <row r="23" spans="1:7">
      <c r="A23" s="3">
        <v>14</v>
      </c>
      <c r="B23" s="3">
        <v>6</v>
      </c>
      <c r="C23" s="3">
        <v>43</v>
      </c>
      <c r="D23" s="3">
        <v>1</v>
      </c>
      <c r="E23" s="3">
        <v>55.039</v>
      </c>
      <c r="F23" s="4" t="str">
        <f>HYPERLINK("http://141.218.60.56/~jnz1568/getInfo.php?workbook=14_06.xlsx&amp;sheet=A0&amp;row=23&amp;col=6&amp;number=46100000000&amp;sourceID=14","46100000000")</f>
        <v>46100000000</v>
      </c>
      <c r="G23" s="4" t="str">
        <f>HYPERLINK("http://141.218.60.56/~jnz1568/getInfo.php?workbook=14_06.xlsx&amp;sheet=A0&amp;row=23&amp;col=7&amp;number=0&amp;sourceID=14","0")</f>
        <v>0</v>
      </c>
    </row>
    <row r="24" spans="1:7">
      <c r="A24" s="3">
        <v>14</v>
      </c>
      <c r="B24" s="3">
        <v>6</v>
      </c>
      <c r="C24" s="3">
        <v>45</v>
      </c>
      <c r="D24" s="3">
        <v>1</v>
      </c>
      <c r="E24" s="3">
        <v>54.391</v>
      </c>
      <c r="F24" s="4" t="str">
        <f>HYPERLINK("http://141.218.60.56/~jnz1568/getInfo.php?workbook=14_06.xlsx&amp;sheet=A0&amp;row=24&amp;col=6&amp;number=1770000000&amp;sourceID=14","1770000000")</f>
        <v>1770000000</v>
      </c>
      <c r="G24" s="4" t="str">
        <f>HYPERLINK("http://141.218.60.56/~jnz1568/getInfo.php?workbook=14_06.xlsx&amp;sheet=A0&amp;row=24&amp;col=7&amp;number=0&amp;sourceID=14","0")</f>
        <v>0</v>
      </c>
    </row>
    <row r="25" spans="1:7">
      <c r="A25" s="3">
        <v>14</v>
      </c>
      <c r="B25" s="3">
        <v>6</v>
      </c>
      <c r="C25" s="3">
        <v>6</v>
      </c>
      <c r="D25" s="3">
        <v>2</v>
      </c>
      <c r="E25" s="3">
        <v>676.509</v>
      </c>
      <c r="F25" s="4" t="str">
        <f>HYPERLINK("http://141.218.60.56/~jnz1568/getInfo.php?workbook=14_06.xlsx&amp;sheet=A0&amp;row=25&amp;col=6&amp;number=54800&amp;sourceID=14","54800")</f>
        <v>54800</v>
      </c>
      <c r="G25" s="4" t="str">
        <f>HYPERLINK("http://141.218.60.56/~jnz1568/getInfo.php?workbook=14_06.xlsx&amp;sheet=A0&amp;row=25&amp;col=7&amp;number=0&amp;sourceID=14","0")</f>
        <v>0</v>
      </c>
    </row>
    <row r="26" spans="1:7">
      <c r="A26" s="3">
        <v>14</v>
      </c>
      <c r="B26" s="3">
        <v>6</v>
      </c>
      <c r="C26" s="3">
        <v>7</v>
      </c>
      <c r="D26" s="3">
        <v>2</v>
      </c>
      <c r="E26" s="3">
        <v>345.121</v>
      </c>
      <c r="F26" s="4" t="str">
        <f>HYPERLINK("http://141.218.60.56/~jnz1568/getInfo.php?workbook=14_06.xlsx&amp;sheet=A0&amp;row=26&amp;col=6&amp;number=2070000000&amp;sourceID=14","2070000000")</f>
        <v>2070000000</v>
      </c>
      <c r="G26" s="4" t="str">
        <f>HYPERLINK("http://141.218.60.56/~jnz1568/getInfo.php?workbook=14_06.xlsx&amp;sheet=A0&amp;row=26&amp;col=7&amp;number=0&amp;sourceID=14","0")</f>
        <v>0</v>
      </c>
    </row>
    <row r="27" spans="1:7">
      <c r="A27" s="3">
        <v>14</v>
      </c>
      <c r="B27" s="3">
        <v>6</v>
      </c>
      <c r="C27" s="3">
        <v>8</v>
      </c>
      <c r="D27" s="3">
        <v>2</v>
      </c>
      <c r="E27" s="3">
        <v>344.954</v>
      </c>
      <c r="F27" s="4" t="str">
        <f>HYPERLINK("http://141.218.60.56/~jnz1568/getInfo.php?workbook=14_06.xlsx&amp;sheet=A0&amp;row=27&amp;col=6&amp;number=915000000&amp;sourceID=14","915000000")</f>
        <v>915000000</v>
      </c>
      <c r="G27" s="4" t="str">
        <f>HYPERLINK("http://141.218.60.56/~jnz1568/getInfo.php?workbook=14_06.xlsx&amp;sheet=A0&amp;row=27&amp;col=7&amp;number=0&amp;sourceID=14","0")</f>
        <v>0</v>
      </c>
    </row>
    <row r="28" spans="1:7">
      <c r="A28" s="3">
        <v>14</v>
      </c>
      <c r="B28" s="3">
        <v>6</v>
      </c>
      <c r="C28" s="3">
        <v>10</v>
      </c>
      <c r="D28" s="3">
        <v>2</v>
      </c>
      <c r="E28" s="3">
        <v>292.809</v>
      </c>
      <c r="F28" s="4" t="str">
        <f>HYPERLINK("http://141.218.60.56/~jnz1568/getInfo.php?workbook=14_06.xlsx&amp;sheet=A0&amp;row=28&amp;col=6&amp;number=6920000000&amp;sourceID=14","6920000000")</f>
        <v>6920000000</v>
      </c>
      <c r="G28" s="4" t="str">
        <f>HYPERLINK("http://141.218.60.56/~jnz1568/getInfo.php?workbook=14_06.xlsx&amp;sheet=A0&amp;row=28&amp;col=7&amp;number=0&amp;sourceID=14","0")</f>
        <v>0</v>
      </c>
    </row>
    <row r="29" spans="1:7">
      <c r="A29" s="3">
        <v>14</v>
      </c>
      <c r="B29" s="3">
        <v>6</v>
      </c>
      <c r="C29" s="3">
        <v>11</v>
      </c>
      <c r="D29" s="3">
        <v>2</v>
      </c>
      <c r="E29" s="3">
        <v>292.855</v>
      </c>
      <c r="F29" s="4" t="str">
        <f>HYPERLINK("http://141.218.60.56/~jnz1568/getInfo.php?workbook=14_06.xlsx&amp;sheet=A0&amp;row=29&amp;col=6&amp;number=2070000000&amp;sourceID=14","2070000000")</f>
        <v>2070000000</v>
      </c>
      <c r="G29" s="4" t="str">
        <f>HYPERLINK("http://141.218.60.56/~jnz1568/getInfo.php?workbook=14_06.xlsx&amp;sheet=A0&amp;row=29&amp;col=7&amp;number=0&amp;sourceID=14","0")</f>
        <v>0</v>
      </c>
    </row>
    <row r="30" spans="1:7">
      <c r="A30" s="3">
        <v>14</v>
      </c>
      <c r="B30" s="3">
        <v>6</v>
      </c>
      <c r="C30" s="3">
        <v>12</v>
      </c>
      <c r="D30" s="3">
        <v>2</v>
      </c>
      <c r="E30" s="3">
        <v>292.759</v>
      </c>
      <c r="F30" s="4" t="str">
        <f>HYPERLINK("http://141.218.60.56/~jnz1568/getInfo.php?workbook=14_06.xlsx&amp;sheet=A0&amp;row=30&amp;col=6&amp;number=1390000000&amp;sourceID=14","1390000000")</f>
        <v>1390000000</v>
      </c>
      <c r="G30" s="4" t="str">
        <f>HYPERLINK("http://141.218.60.56/~jnz1568/getInfo.php?workbook=14_06.xlsx&amp;sheet=A0&amp;row=30&amp;col=7&amp;number=0&amp;sourceID=14","0")</f>
        <v>0</v>
      </c>
    </row>
    <row r="31" spans="1:7">
      <c r="A31" s="3">
        <v>14</v>
      </c>
      <c r="B31" s="3">
        <v>6</v>
      </c>
      <c r="C31" s="3">
        <v>13</v>
      </c>
      <c r="D31" s="3">
        <v>2</v>
      </c>
      <c r="E31" s="3">
        <v>228.387</v>
      </c>
      <c r="F31" s="4" t="str">
        <f>HYPERLINK("http://141.218.60.56/~jnz1568/getInfo.php?workbook=14_06.xlsx&amp;sheet=A0&amp;row=31&amp;col=6&amp;number=3090000&amp;sourceID=14","3090000")</f>
        <v>3090000</v>
      </c>
      <c r="G31" s="4" t="str">
        <f>HYPERLINK("http://141.218.60.56/~jnz1568/getInfo.php?workbook=14_06.xlsx&amp;sheet=A0&amp;row=31&amp;col=7&amp;number=0&amp;sourceID=14","0")</f>
        <v>0</v>
      </c>
    </row>
    <row r="32" spans="1:7">
      <c r="A32" s="3">
        <v>14</v>
      </c>
      <c r="B32" s="3">
        <v>6</v>
      </c>
      <c r="C32" s="3">
        <v>14</v>
      </c>
      <c r="D32" s="3">
        <v>2</v>
      </c>
      <c r="E32" s="3">
        <v>225.025</v>
      </c>
      <c r="F32" s="4" t="str">
        <f>HYPERLINK("http://141.218.60.56/~jnz1568/getInfo.php?workbook=14_06.xlsx&amp;sheet=A0&amp;row=32&amp;col=6&amp;number=13800000000&amp;sourceID=14","13800000000")</f>
        <v>13800000000</v>
      </c>
      <c r="G32" s="4" t="str">
        <f>HYPERLINK("http://141.218.60.56/~jnz1568/getInfo.php?workbook=14_06.xlsx&amp;sheet=A0&amp;row=32&amp;col=7&amp;number=0&amp;sourceID=14","0")</f>
        <v>0</v>
      </c>
    </row>
    <row r="33" spans="1:7">
      <c r="A33" s="3">
        <v>14</v>
      </c>
      <c r="B33" s="3">
        <v>6</v>
      </c>
      <c r="C33" s="3">
        <v>15</v>
      </c>
      <c r="D33" s="3">
        <v>2</v>
      </c>
      <c r="E33" s="3">
        <v>203.995</v>
      </c>
      <c r="F33" s="4" t="str">
        <f>HYPERLINK("http://141.218.60.56/~jnz1568/getInfo.php?workbook=14_06.xlsx&amp;sheet=A0&amp;row=33&amp;col=6&amp;number=94900000&amp;sourceID=14","94900000")</f>
        <v>94900000</v>
      </c>
      <c r="G33" s="4" t="str">
        <f>HYPERLINK("http://141.218.60.56/~jnz1568/getInfo.php?workbook=14_06.xlsx&amp;sheet=A0&amp;row=33&amp;col=7&amp;number=0&amp;sourceID=14","0")</f>
        <v>0</v>
      </c>
    </row>
    <row r="34" spans="1:7">
      <c r="A34" s="3">
        <v>14</v>
      </c>
      <c r="B34" s="3">
        <v>6</v>
      </c>
      <c r="C34" s="3">
        <v>21</v>
      </c>
      <c r="D34" s="3">
        <v>2</v>
      </c>
      <c r="E34" s="3">
        <v>-60.883</v>
      </c>
      <c r="F34" s="4" t="str">
        <f>HYPERLINK("http://141.218.60.56/~jnz1568/getInfo.php?workbook=14_06.xlsx&amp;sheet=A0&amp;row=34&amp;col=6&amp;number=99000000000&amp;sourceID=14","99000000000")</f>
        <v>99000000000</v>
      </c>
      <c r="G34" s="4" t="str">
        <f>HYPERLINK("http://141.218.60.56/~jnz1568/getInfo.php?workbook=14_06.xlsx&amp;sheet=A0&amp;row=34&amp;col=7&amp;number=0&amp;sourceID=14","0")</f>
        <v>0</v>
      </c>
    </row>
    <row r="35" spans="1:7">
      <c r="A35" s="3">
        <v>14</v>
      </c>
      <c r="B35" s="3">
        <v>6</v>
      </c>
      <c r="C35" s="3">
        <v>22</v>
      </c>
      <c r="D35" s="3">
        <v>2</v>
      </c>
      <c r="E35" s="3">
        <v>61.697</v>
      </c>
      <c r="F35" s="4" t="str">
        <f>HYPERLINK("http://141.218.60.56/~jnz1568/getInfo.php?workbook=14_06.xlsx&amp;sheet=A0&amp;row=35&amp;col=6&amp;number=23800000000&amp;sourceID=14","23800000000")</f>
        <v>23800000000</v>
      </c>
      <c r="G35" s="4" t="str">
        <f>HYPERLINK("http://141.218.60.56/~jnz1568/getInfo.php?workbook=14_06.xlsx&amp;sheet=A0&amp;row=35&amp;col=7&amp;number=0&amp;sourceID=14","0")</f>
        <v>0</v>
      </c>
    </row>
    <row r="36" spans="1:7">
      <c r="A36" s="3">
        <v>14</v>
      </c>
      <c r="B36" s="3">
        <v>6</v>
      </c>
      <c r="C36" s="3">
        <v>23</v>
      </c>
      <c r="D36" s="3">
        <v>2</v>
      </c>
      <c r="E36" s="3">
        <v>61.502</v>
      </c>
      <c r="F36" s="4" t="str">
        <f>HYPERLINK("http://141.218.60.56/~jnz1568/getInfo.php?workbook=14_06.xlsx&amp;sheet=A0&amp;row=36&amp;col=6&amp;number=24800000000&amp;sourceID=14","24800000000")</f>
        <v>24800000000</v>
      </c>
      <c r="G36" s="4" t="str">
        <f>HYPERLINK("http://141.218.60.56/~jnz1568/getInfo.php?workbook=14_06.xlsx&amp;sheet=A0&amp;row=36&amp;col=7&amp;number=0&amp;sourceID=14","0")</f>
        <v>0</v>
      </c>
    </row>
    <row r="37" spans="1:7">
      <c r="A37" s="3">
        <v>14</v>
      </c>
      <c r="B37" s="3">
        <v>6</v>
      </c>
      <c r="C37" s="3">
        <v>24</v>
      </c>
      <c r="D37" s="3">
        <v>2</v>
      </c>
      <c r="E37" s="3">
        <v>61.039</v>
      </c>
      <c r="F37" s="4" t="str">
        <f>HYPERLINK("http://141.218.60.56/~jnz1568/getInfo.php?workbook=14_06.xlsx&amp;sheet=A0&amp;row=37&amp;col=6&amp;number=745000000&amp;sourceID=14","745000000")</f>
        <v>745000000</v>
      </c>
      <c r="G37" s="4" t="str">
        <f>HYPERLINK("http://141.218.60.56/~jnz1568/getInfo.php?workbook=14_06.xlsx&amp;sheet=A0&amp;row=37&amp;col=7&amp;number=0&amp;sourceID=14","0")</f>
        <v>0</v>
      </c>
    </row>
    <row r="38" spans="1:7">
      <c r="A38" s="3">
        <v>14</v>
      </c>
      <c r="B38" s="3">
        <v>6</v>
      </c>
      <c r="C38" s="3">
        <v>25</v>
      </c>
      <c r="D38" s="3">
        <v>2</v>
      </c>
      <c r="E38" s="3">
        <v>-58.268</v>
      </c>
      <c r="F38" s="4" t="str">
        <f>HYPERLINK("http://141.218.60.56/~jnz1568/getInfo.php?workbook=14_06.xlsx&amp;sheet=A0&amp;row=38&amp;col=6&amp;number=3970000&amp;sourceID=14","3970000")</f>
        <v>3970000</v>
      </c>
      <c r="G38" s="4" t="str">
        <f>HYPERLINK("http://141.218.60.56/~jnz1568/getInfo.php?workbook=14_06.xlsx&amp;sheet=A0&amp;row=38&amp;col=7&amp;number=0&amp;sourceID=14","0")</f>
        <v>0</v>
      </c>
    </row>
    <row r="39" spans="1:7">
      <c r="A39" s="3">
        <v>14</v>
      </c>
      <c r="B39" s="3">
        <v>6</v>
      </c>
      <c r="C39" s="3">
        <v>26</v>
      </c>
      <c r="D39" s="3">
        <v>2</v>
      </c>
      <c r="E39" s="3">
        <v>-58.071</v>
      </c>
      <c r="F39" s="4" t="str">
        <f>HYPERLINK("http://141.218.60.56/~jnz1568/getInfo.php?workbook=14_06.xlsx&amp;sheet=A0&amp;row=39&amp;col=6&amp;number=14800000&amp;sourceID=14","14800000")</f>
        <v>14800000</v>
      </c>
      <c r="G39" s="4" t="str">
        <f>HYPERLINK("http://141.218.60.56/~jnz1568/getInfo.php?workbook=14_06.xlsx&amp;sheet=A0&amp;row=39&amp;col=7&amp;number=0&amp;sourceID=14","0")</f>
        <v>0</v>
      </c>
    </row>
    <row r="40" spans="1:7">
      <c r="A40" s="3">
        <v>14</v>
      </c>
      <c r="B40" s="3">
        <v>6</v>
      </c>
      <c r="C40" s="3">
        <v>27</v>
      </c>
      <c r="D40" s="3">
        <v>2</v>
      </c>
      <c r="E40" s="3">
        <v>-58.027</v>
      </c>
      <c r="F40" s="4" t="str">
        <f>HYPERLINK("http://141.218.60.56/~jnz1568/getInfo.php?workbook=14_06.xlsx&amp;sheet=A0&amp;row=40&amp;col=6&amp;number=2400000&amp;sourceID=14","2400000")</f>
        <v>2400000</v>
      </c>
      <c r="G40" s="4" t="str">
        <f>HYPERLINK("http://141.218.60.56/~jnz1568/getInfo.php?workbook=14_06.xlsx&amp;sheet=A0&amp;row=40&amp;col=7&amp;number=0&amp;sourceID=14","0")</f>
        <v>0</v>
      </c>
    </row>
    <row r="41" spans="1:7">
      <c r="A41" s="3">
        <v>14</v>
      </c>
      <c r="B41" s="3">
        <v>6</v>
      </c>
      <c r="C41" s="3">
        <v>28</v>
      </c>
      <c r="D41" s="3">
        <v>2</v>
      </c>
      <c r="E41" s="3">
        <v>-57.882</v>
      </c>
      <c r="F41" s="4" t="str">
        <f>HYPERLINK("http://141.218.60.56/~jnz1568/getInfo.php?workbook=14_06.xlsx&amp;sheet=A0&amp;row=41&amp;col=6&amp;number=7980000&amp;sourceID=14","7980000")</f>
        <v>7980000</v>
      </c>
      <c r="G41" s="4" t="str">
        <f>HYPERLINK("http://141.218.60.56/~jnz1568/getInfo.php?workbook=14_06.xlsx&amp;sheet=A0&amp;row=41&amp;col=7&amp;number=0&amp;sourceID=14","0")</f>
        <v>0</v>
      </c>
    </row>
    <row r="42" spans="1:7">
      <c r="A42" s="3">
        <v>14</v>
      </c>
      <c r="B42" s="3">
        <v>6</v>
      </c>
      <c r="C42" s="3">
        <v>29</v>
      </c>
      <c r="D42" s="3">
        <v>2</v>
      </c>
      <c r="E42" s="3">
        <v>-57.62</v>
      </c>
      <c r="F42" s="4" t="str">
        <f>HYPERLINK("http://141.218.60.56/~jnz1568/getInfo.php?workbook=14_06.xlsx&amp;sheet=A0&amp;row=42&amp;col=6&amp;number=7240&amp;sourceID=14","7240")</f>
        <v>7240</v>
      </c>
      <c r="G42" s="4" t="str">
        <f>HYPERLINK("http://141.218.60.56/~jnz1568/getInfo.php?workbook=14_06.xlsx&amp;sheet=A0&amp;row=42&amp;col=7&amp;number=0&amp;sourceID=14","0")</f>
        <v>0</v>
      </c>
    </row>
    <row r="43" spans="1:7">
      <c r="A43" s="3">
        <v>14</v>
      </c>
      <c r="B43" s="3">
        <v>6</v>
      </c>
      <c r="C43" s="3">
        <v>31</v>
      </c>
      <c r="D43" s="3">
        <v>2</v>
      </c>
      <c r="E43" s="3">
        <v>-57.099</v>
      </c>
      <c r="F43" s="4" t="str">
        <f>HYPERLINK("http://141.218.60.56/~jnz1568/getInfo.php?workbook=14_06.xlsx&amp;sheet=A0&amp;row=43&amp;col=6&amp;number=2980000&amp;sourceID=14","2980000")</f>
        <v>2980000</v>
      </c>
      <c r="G43" s="4" t="str">
        <f>HYPERLINK("http://141.218.60.56/~jnz1568/getInfo.php?workbook=14_06.xlsx&amp;sheet=A0&amp;row=43&amp;col=7&amp;number=0&amp;sourceID=14","0")</f>
        <v>0</v>
      </c>
    </row>
    <row r="44" spans="1:7">
      <c r="A44" s="3">
        <v>14</v>
      </c>
      <c r="B44" s="3">
        <v>6</v>
      </c>
      <c r="C44" s="3">
        <v>32</v>
      </c>
      <c r="D44" s="3">
        <v>2</v>
      </c>
      <c r="E44" s="3">
        <v>-57.025</v>
      </c>
      <c r="F44" s="4" t="str">
        <f>HYPERLINK("http://141.218.60.56/~jnz1568/getInfo.php?workbook=14_06.xlsx&amp;sheet=A0&amp;row=44&amp;col=6&amp;number=6010000&amp;sourceID=14","6010000")</f>
        <v>6010000</v>
      </c>
      <c r="G44" s="4" t="str">
        <f>HYPERLINK("http://141.218.60.56/~jnz1568/getInfo.php?workbook=14_06.xlsx&amp;sheet=A0&amp;row=44&amp;col=7&amp;number=0&amp;sourceID=14","0")</f>
        <v>0</v>
      </c>
    </row>
    <row r="45" spans="1:7">
      <c r="A45" s="3">
        <v>14</v>
      </c>
      <c r="B45" s="3">
        <v>6</v>
      </c>
      <c r="C45" s="3">
        <v>33</v>
      </c>
      <c r="D45" s="3">
        <v>2</v>
      </c>
      <c r="E45" s="3">
        <v>-56.478</v>
      </c>
      <c r="F45" s="4" t="str">
        <f>HYPERLINK("http://141.218.60.56/~jnz1568/getInfo.php?workbook=14_06.xlsx&amp;sheet=A0&amp;row=45&amp;col=6&amp;number=109000&amp;sourceID=14","109000")</f>
        <v>109000</v>
      </c>
      <c r="G45" s="4" t="str">
        <f>HYPERLINK("http://141.218.60.56/~jnz1568/getInfo.php?workbook=14_06.xlsx&amp;sheet=A0&amp;row=45&amp;col=7&amp;number=0&amp;sourceID=14","0")</f>
        <v>0</v>
      </c>
    </row>
    <row r="46" spans="1:7">
      <c r="A46" s="3">
        <v>14</v>
      </c>
      <c r="B46" s="3">
        <v>6</v>
      </c>
      <c r="C46" s="3">
        <v>35</v>
      </c>
      <c r="D46" s="3">
        <v>2</v>
      </c>
      <c r="E46" s="3">
        <v>-55.305</v>
      </c>
      <c r="F46" s="4" t="str">
        <f>HYPERLINK("http://141.218.60.56/~jnz1568/getInfo.php?workbook=14_06.xlsx&amp;sheet=A0&amp;row=46&amp;col=6&amp;number=1180000000&amp;sourceID=14","1180000000")</f>
        <v>1180000000</v>
      </c>
      <c r="G46" s="4" t="str">
        <f>HYPERLINK("http://141.218.60.56/~jnz1568/getInfo.php?workbook=14_06.xlsx&amp;sheet=A0&amp;row=46&amp;col=7&amp;number=0&amp;sourceID=14","0")</f>
        <v>0</v>
      </c>
    </row>
    <row r="47" spans="1:7">
      <c r="A47" s="3">
        <v>14</v>
      </c>
      <c r="B47" s="3">
        <v>6</v>
      </c>
      <c r="C47" s="3">
        <v>37</v>
      </c>
      <c r="D47" s="3">
        <v>2</v>
      </c>
      <c r="E47" s="3">
        <v>55.819</v>
      </c>
      <c r="F47" s="4" t="str">
        <f>HYPERLINK("http://141.218.60.56/~jnz1568/getInfo.php?workbook=14_06.xlsx&amp;sheet=A0&amp;row=47&amp;col=6&amp;number=16700000000&amp;sourceID=14","16700000000")</f>
        <v>16700000000</v>
      </c>
      <c r="G47" s="4" t="str">
        <f>HYPERLINK("http://141.218.60.56/~jnz1568/getInfo.php?workbook=14_06.xlsx&amp;sheet=A0&amp;row=47&amp;col=7&amp;number=0&amp;sourceID=14","0")</f>
        <v>0</v>
      </c>
    </row>
    <row r="48" spans="1:7">
      <c r="A48" s="3">
        <v>14</v>
      </c>
      <c r="B48" s="3">
        <v>6</v>
      </c>
      <c r="C48" s="3">
        <v>39</v>
      </c>
      <c r="D48" s="3">
        <v>2</v>
      </c>
      <c r="E48" s="3">
        <v>55.383</v>
      </c>
      <c r="F48" s="4" t="str">
        <f>HYPERLINK("http://141.218.60.56/~jnz1568/getInfo.php?workbook=14_06.xlsx&amp;sheet=A0&amp;row=48&amp;col=6&amp;number=300000000000&amp;sourceID=14","300000000000")</f>
        <v>300000000000</v>
      </c>
      <c r="G48" s="4" t="str">
        <f>HYPERLINK("http://141.218.60.56/~jnz1568/getInfo.php?workbook=14_06.xlsx&amp;sheet=A0&amp;row=48&amp;col=7&amp;number=0&amp;sourceID=14","0")</f>
        <v>0</v>
      </c>
    </row>
    <row r="49" spans="1:7">
      <c r="A49" s="3">
        <v>14</v>
      </c>
      <c r="B49" s="3">
        <v>6</v>
      </c>
      <c r="C49" s="3">
        <v>40</v>
      </c>
      <c r="D49" s="3">
        <v>2</v>
      </c>
      <c r="E49" s="3">
        <v>55.356</v>
      </c>
      <c r="F49" s="4" t="str">
        <f>HYPERLINK("http://141.218.60.56/~jnz1568/getInfo.php?workbook=14_06.xlsx&amp;sheet=A0&amp;row=49&amp;col=6&amp;number=971000000000&amp;sourceID=14","971000000000")</f>
        <v>971000000000</v>
      </c>
      <c r="G49" s="4" t="str">
        <f>HYPERLINK("http://141.218.60.56/~jnz1568/getInfo.php?workbook=14_06.xlsx&amp;sheet=A0&amp;row=49&amp;col=7&amp;number=0&amp;sourceID=14","0")</f>
        <v>0</v>
      </c>
    </row>
    <row r="50" spans="1:7">
      <c r="A50" s="3">
        <v>14</v>
      </c>
      <c r="B50" s="3">
        <v>6</v>
      </c>
      <c r="C50" s="3">
        <v>42</v>
      </c>
      <c r="D50" s="3">
        <v>2</v>
      </c>
      <c r="E50" s="3">
        <v>55.154</v>
      </c>
      <c r="F50" s="4" t="str">
        <f>HYPERLINK("http://141.218.60.56/~jnz1568/getInfo.php?workbook=14_06.xlsx&amp;sheet=A0&amp;row=50&amp;col=6&amp;number=4290000000&amp;sourceID=14","4290000000")</f>
        <v>4290000000</v>
      </c>
      <c r="G50" s="4" t="str">
        <f>HYPERLINK("http://141.218.60.56/~jnz1568/getInfo.php?workbook=14_06.xlsx&amp;sheet=A0&amp;row=50&amp;col=7&amp;number=0&amp;sourceID=14","0")</f>
        <v>0</v>
      </c>
    </row>
    <row r="51" spans="1:7">
      <c r="A51" s="3">
        <v>14</v>
      </c>
      <c r="B51" s="3">
        <v>6</v>
      </c>
      <c r="C51" s="3">
        <v>43</v>
      </c>
      <c r="D51" s="3">
        <v>2</v>
      </c>
      <c r="E51" s="3">
        <v>55.116</v>
      </c>
      <c r="F51" s="4" t="str">
        <f>HYPERLINK("http://141.218.60.56/~jnz1568/getInfo.php?workbook=14_06.xlsx&amp;sheet=A0&amp;row=51&amp;col=6&amp;number=318000000000&amp;sourceID=14","318000000000")</f>
        <v>318000000000</v>
      </c>
      <c r="G51" s="4" t="str">
        <f>HYPERLINK("http://141.218.60.56/~jnz1568/getInfo.php?workbook=14_06.xlsx&amp;sheet=A0&amp;row=51&amp;col=7&amp;number=0&amp;sourceID=14","0")</f>
        <v>0</v>
      </c>
    </row>
    <row r="52" spans="1:7">
      <c r="A52" s="3">
        <v>14</v>
      </c>
      <c r="B52" s="3">
        <v>6</v>
      </c>
      <c r="C52" s="3">
        <v>44</v>
      </c>
      <c r="D52" s="3">
        <v>2</v>
      </c>
      <c r="E52" s="3">
        <v>55.094</v>
      </c>
      <c r="F52" s="4" t="str">
        <f>HYPERLINK("http://141.218.60.56/~jnz1568/getInfo.php?workbook=14_06.xlsx&amp;sheet=A0&amp;row=52&amp;col=6&amp;number=608000000000&amp;sourceID=14","608000000000")</f>
        <v>608000000000</v>
      </c>
      <c r="G52" s="4" t="str">
        <f>HYPERLINK("http://141.218.60.56/~jnz1568/getInfo.php?workbook=14_06.xlsx&amp;sheet=A0&amp;row=52&amp;col=7&amp;number=0&amp;sourceID=14","0")</f>
        <v>0</v>
      </c>
    </row>
    <row r="53" spans="1:7">
      <c r="A53" s="3">
        <v>14</v>
      </c>
      <c r="B53" s="3">
        <v>6</v>
      </c>
      <c r="C53" s="3">
        <v>45</v>
      </c>
      <c r="D53" s="3">
        <v>2</v>
      </c>
      <c r="E53" s="3">
        <v>54.466</v>
      </c>
      <c r="F53" s="4" t="str">
        <f>HYPERLINK("http://141.218.60.56/~jnz1568/getInfo.php?workbook=14_06.xlsx&amp;sheet=A0&amp;row=53&amp;col=6&amp;number=1160000000&amp;sourceID=14","1160000000")</f>
        <v>1160000000</v>
      </c>
      <c r="G53" s="4" t="str">
        <f>HYPERLINK("http://141.218.60.56/~jnz1568/getInfo.php?workbook=14_06.xlsx&amp;sheet=A0&amp;row=53&amp;col=7&amp;number=0&amp;sourceID=14","0")</f>
        <v>0</v>
      </c>
    </row>
    <row r="54" spans="1:7">
      <c r="A54" s="3">
        <v>14</v>
      </c>
      <c r="B54" s="3">
        <v>6</v>
      </c>
      <c r="C54" s="3">
        <v>6</v>
      </c>
      <c r="D54" s="3">
        <v>3</v>
      </c>
      <c r="E54" s="3">
        <v>694.692</v>
      </c>
      <c r="F54" s="4" t="str">
        <f>HYPERLINK("http://141.218.60.56/~jnz1568/getInfo.php?workbook=14_06.xlsx&amp;sheet=A0&amp;row=54&amp;col=6&amp;number=138000&amp;sourceID=14","138000")</f>
        <v>138000</v>
      </c>
      <c r="G54" s="4" t="str">
        <f>HYPERLINK("http://141.218.60.56/~jnz1568/getInfo.php?workbook=14_06.xlsx&amp;sheet=A0&amp;row=54&amp;col=7&amp;number=0&amp;sourceID=14","0")</f>
        <v>0</v>
      </c>
    </row>
    <row r="55" spans="1:7">
      <c r="A55" s="3">
        <v>14</v>
      </c>
      <c r="B55" s="3">
        <v>6</v>
      </c>
      <c r="C55" s="3">
        <v>7</v>
      </c>
      <c r="D55" s="3">
        <v>3</v>
      </c>
      <c r="E55" s="3">
        <v>349.792</v>
      </c>
      <c r="F55" s="4" t="str">
        <f>HYPERLINK("http://141.218.60.56/~jnz1568/getInfo.php?workbook=14_06.xlsx&amp;sheet=A0&amp;row=55&amp;col=6&amp;number=405000000&amp;sourceID=14","405000000")</f>
        <v>405000000</v>
      </c>
      <c r="G55" s="4" t="str">
        <f>HYPERLINK("http://141.218.60.56/~jnz1568/getInfo.php?workbook=14_06.xlsx&amp;sheet=A0&amp;row=55&amp;col=7&amp;number=0&amp;sourceID=14","0")</f>
        <v>0</v>
      </c>
    </row>
    <row r="56" spans="1:7">
      <c r="A56" s="3">
        <v>14</v>
      </c>
      <c r="B56" s="3">
        <v>6</v>
      </c>
      <c r="C56" s="3">
        <v>8</v>
      </c>
      <c r="D56" s="3">
        <v>3</v>
      </c>
      <c r="E56" s="3">
        <v>349.62</v>
      </c>
      <c r="F56" s="4" t="str">
        <f>HYPERLINK("http://141.218.60.56/~jnz1568/getInfo.php?workbook=14_06.xlsx&amp;sheet=A0&amp;row=56&amp;col=6&amp;number=35800000&amp;sourceID=14","35800000")</f>
        <v>35800000</v>
      </c>
      <c r="G56" s="4" t="str">
        <f>HYPERLINK("http://141.218.60.56/~jnz1568/getInfo.php?workbook=14_06.xlsx&amp;sheet=A0&amp;row=56&amp;col=7&amp;number=0&amp;sourceID=14","0")</f>
        <v>0</v>
      </c>
    </row>
    <row r="57" spans="1:7">
      <c r="A57" s="3">
        <v>14</v>
      </c>
      <c r="B57" s="3">
        <v>6</v>
      </c>
      <c r="C57" s="3">
        <v>9</v>
      </c>
      <c r="D57" s="3">
        <v>3</v>
      </c>
      <c r="E57" s="3">
        <v>349.86</v>
      </c>
      <c r="F57" s="4" t="str">
        <f>HYPERLINK("http://141.218.60.56/~jnz1568/getInfo.php?workbook=14_06.xlsx&amp;sheet=A0&amp;row=57&amp;col=6&amp;number=2380000000&amp;sourceID=14","2380000000")</f>
        <v>2380000000</v>
      </c>
      <c r="G57" s="4" t="str">
        <f>HYPERLINK("http://141.218.60.56/~jnz1568/getInfo.php?workbook=14_06.xlsx&amp;sheet=A0&amp;row=57&amp;col=7&amp;number=0&amp;sourceID=14","0")</f>
        <v>0</v>
      </c>
    </row>
    <row r="58" spans="1:7">
      <c r="A58" s="3">
        <v>14</v>
      </c>
      <c r="B58" s="3">
        <v>6</v>
      </c>
      <c r="C58" s="3">
        <v>11</v>
      </c>
      <c r="D58" s="3">
        <v>3</v>
      </c>
      <c r="E58" s="3">
        <v>296.211</v>
      </c>
      <c r="F58" s="4" t="str">
        <f>HYPERLINK("http://141.218.60.56/~jnz1568/getInfo.php?workbook=14_06.xlsx&amp;sheet=A0&amp;row=58&amp;col=6&amp;number=2620000000&amp;sourceID=14","2620000000")</f>
        <v>2620000000</v>
      </c>
      <c r="G58" s="4" t="str">
        <f>HYPERLINK("http://141.218.60.56/~jnz1568/getInfo.php?workbook=14_06.xlsx&amp;sheet=A0&amp;row=58&amp;col=7&amp;number=0&amp;sourceID=14","0")</f>
        <v>0</v>
      </c>
    </row>
    <row r="59" spans="1:7">
      <c r="A59" s="3">
        <v>14</v>
      </c>
      <c r="B59" s="3">
        <v>6</v>
      </c>
      <c r="C59" s="3">
        <v>12</v>
      </c>
      <c r="D59" s="3">
        <v>3</v>
      </c>
      <c r="E59" s="3">
        <v>296.113</v>
      </c>
      <c r="F59" s="4" t="str">
        <f>HYPERLINK("http://141.218.60.56/~jnz1568/getInfo.php?workbook=14_06.xlsx&amp;sheet=A0&amp;row=59&amp;col=6&amp;number=5350000000&amp;sourceID=14","5350000000")</f>
        <v>5350000000</v>
      </c>
      <c r="G59" s="4" t="str">
        <f>HYPERLINK("http://141.218.60.56/~jnz1568/getInfo.php?workbook=14_06.xlsx&amp;sheet=A0&amp;row=59&amp;col=7&amp;number=0&amp;sourceID=14","0")</f>
        <v>0</v>
      </c>
    </row>
    <row r="60" spans="1:7">
      <c r="A60" s="3">
        <v>14</v>
      </c>
      <c r="B60" s="3">
        <v>6</v>
      </c>
      <c r="C60" s="3">
        <v>13</v>
      </c>
      <c r="D60" s="3">
        <v>3</v>
      </c>
      <c r="E60" s="3">
        <v>230.423</v>
      </c>
      <c r="F60" s="4" t="str">
        <f>HYPERLINK("http://141.218.60.56/~jnz1568/getInfo.php?workbook=14_06.xlsx&amp;sheet=A0&amp;row=60&amp;col=6&amp;number=62400000&amp;sourceID=14","62400000")</f>
        <v>62400000</v>
      </c>
      <c r="G60" s="4" t="str">
        <f>HYPERLINK("http://141.218.60.56/~jnz1568/getInfo.php?workbook=14_06.xlsx&amp;sheet=A0&amp;row=60&amp;col=7&amp;number=0&amp;sourceID=14","0")</f>
        <v>0</v>
      </c>
    </row>
    <row r="61" spans="1:7">
      <c r="A61" s="3">
        <v>14</v>
      </c>
      <c r="B61" s="3">
        <v>6</v>
      </c>
      <c r="C61" s="3">
        <v>14</v>
      </c>
      <c r="D61" s="3">
        <v>3</v>
      </c>
      <c r="E61" s="3">
        <v>227.002</v>
      </c>
      <c r="F61" s="4" t="str">
        <f>HYPERLINK("http://141.218.60.56/~jnz1568/getInfo.php?workbook=14_06.xlsx&amp;sheet=A0&amp;row=61&amp;col=6&amp;number=23600000000&amp;sourceID=14","23600000000")</f>
        <v>23600000000</v>
      </c>
      <c r="G61" s="4" t="str">
        <f>HYPERLINK("http://141.218.60.56/~jnz1568/getInfo.php?workbook=14_06.xlsx&amp;sheet=A0&amp;row=61&amp;col=7&amp;number=0&amp;sourceID=14","0")</f>
        <v>0</v>
      </c>
    </row>
    <row r="62" spans="1:7">
      <c r="A62" s="3">
        <v>14</v>
      </c>
      <c r="B62" s="3">
        <v>6</v>
      </c>
      <c r="C62" s="3">
        <v>15</v>
      </c>
      <c r="D62" s="3">
        <v>3</v>
      </c>
      <c r="E62" s="3">
        <v>205.618</v>
      </c>
      <c r="F62" s="4" t="str">
        <f>HYPERLINK("http://141.218.60.56/~jnz1568/getInfo.php?workbook=14_06.xlsx&amp;sheet=A0&amp;row=62&amp;col=6&amp;number=7080000&amp;sourceID=14","7080000")</f>
        <v>7080000</v>
      </c>
      <c r="G62" s="4" t="str">
        <f>HYPERLINK("http://141.218.60.56/~jnz1568/getInfo.php?workbook=14_06.xlsx&amp;sheet=A0&amp;row=62&amp;col=7&amp;number=0&amp;sourceID=14","0")</f>
        <v>0</v>
      </c>
    </row>
    <row r="63" spans="1:7">
      <c r="A63" s="3">
        <v>14</v>
      </c>
      <c r="B63" s="3">
        <v>6</v>
      </c>
      <c r="C63" s="3">
        <v>22</v>
      </c>
      <c r="D63" s="3">
        <v>3</v>
      </c>
      <c r="E63" s="3">
        <v>61.844</v>
      </c>
      <c r="F63" s="4" t="str">
        <f>HYPERLINK("http://141.218.60.56/~jnz1568/getInfo.php?workbook=14_06.xlsx&amp;sheet=A0&amp;row=63&amp;col=6&amp;number=41800000000&amp;sourceID=14","41800000000")</f>
        <v>41800000000</v>
      </c>
      <c r="G63" s="4" t="str">
        <f>HYPERLINK("http://141.218.60.56/~jnz1568/getInfo.php?workbook=14_06.xlsx&amp;sheet=A0&amp;row=63&amp;col=7&amp;number=0&amp;sourceID=14","0")</f>
        <v>0</v>
      </c>
    </row>
    <row r="64" spans="1:7">
      <c r="A64" s="3">
        <v>14</v>
      </c>
      <c r="B64" s="3">
        <v>6</v>
      </c>
      <c r="C64" s="3">
        <v>23</v>
      </c>
      <c r="D64" s="3">
        <v>3</v>
      </c>
      <c r="E64" s="3">
        <v>61.649</v>
      </c>
      <c r="F64" s="4" t="str">
        <f>HYPERLINK("http://141.218.60.56/~jnz1568/getInfo.php?workbook=14_06.xlsx&amp;sheet=A0&amp;row=64&amp;col=6&amp;number=74200000000&amp;sourceID=14","74200000000")</f>
        <v>74200000000</v>
      </c>
      <c r="G64" s="4" t="str">
        <f>HYPERLINK("http://141.218.60.56/~jnz1568/getInfo.php?workbook=14_06.xlsx&amp;sheet=A0&amp;row=64&amp;col=7&amp;number=0&amp;sourceID=14","0")</f>
        <v>0</v>
      </c>
    </row>
    <row r="65" spans="1:7">
      <c r="A65" s="3">
        <v>14</v>
      </c>
      <c r="B65" s="3">
        <v>6</v>
      </c>
      <c r="C65" s="3">
        <v>24</v>
      </c>
      <c r="D65" s="3">
        <v>3</v>
      </c>
      <c r="E65" s="3">
        <v>61.183</v>
      </c>
      <c r="F65" s="4" t="str">
        <f>HYPERLINK("http://141.218.60.56/~jnz1568/getInfo.php?workbook=14_06.xlsx&amp;sheet=A0&amp;row=65&amp;col=6&amp;number=216000000&amp;sourceID=14","216000000")</f>
        <v>216000000</v>
      </c>
      <c r="G65" s="4" t="str">
        <f>HYPERLINK("http://141.218.60.56/~jnz1568/getInfo.php?workbook=14_06.xlsx&amp;sheet=A0&amp;row=65&amp;col=7&amp;number=0&amp;sourceID=14","0")</f>
        <v>0</v>
      </c>
    </row>
    <row r="66" spans="1:7">
      <c r="A66" s="3">
        <v>14</v>
      </c>
      <c r="B66" s="3">
        <v>6</v>
      </c>
      <c r="C66" s="3">
        <v>25</v>
      </c>
      <c r="D66" s="3">
        <v>3</v>
      </c>
      <c r="E66" s="3">
        <v>-58.401</v>
      </c>
      <c r="F66" s="4" t="str">
        <f>HYPERLINK("http://141.218.60.56/~jnz1568/getInfo.php?workbook=14_06.xlsx&amp;sheet=A0&amp;row=66&amp;col=6&amp;number=2480000&amp;sourceID=14","2480000")</f>
        <v>2480000</v>
      </c>
      <c r="G66" s="4" t="str">
        <f>HYPERLINK("http://141.218.60.56/~jnz1568/getInfo.php?workbook=14_06.xlsx&amp;sheet=A0&amp;row=66&amp;col=7&amp;number=0&amp;sourceID=14","0")</f>
        <v>0</v>
      </c>
    </row>
    <row r="67" spans="1:7">
      <c r="A67" s="3">
        <v>14</v>
      </c>
      <c r="B67" s="3">
        <v>6</v>
      </c>
      <c r="C67" s="3">
        <v>26</v>
      </c>
      <c r="D67" s="3">
        <v>3</v>
      </c>
      <c r="E67" s="3">
        <v>-58.203</v>
      </c>
      <c r="F67" s="4" t="str">
        <f>HYPERLINK("http://141.218.60.56/~jnz1568/getInfo.php?workbook=14_06.xlsx&amp;sheet=A0&amp;row=67&amp;col=6&amp;number=3190000&amp;sourceID=14","3190000")</f>
        <v>3190000</v>
      </c>
      <c r="G67" s="4" t="str">
        <f>HYPERLINK("http://141.218.60.56/~jnz1568/getInfo.php?workbook=14_06.xlsx&amp;sheet=A0&amp;row=67&amp;col=7&amp;number=0&amp;sourceID=14","0")</f>
        <v>0</v>
      </c>
    </row>
    <row r="68" spans="1:7">
      <c r="A68" s="3">
        <v>14</v>
      </c>
      <c r="B68" s="3">
        <v>6</v>
      </c>
      <c r="C68" s="3">
        <v>27</v>
      </c>
      <c r="D68" s="3">
        <v>3</v>
      </c>
      <c r="E68" s="3">
        <v>-58.158</v>
      </c>
      <c r="F68" s="4" t="str">
        <f>HYPERLINK("http://141.218.60.56/~jnz1568/getInfo.php?workbook=14_06.xlsx&amp;sheet=A0&amp;row=68&amp;col=6&amp;number=13300000&amp;sourceID=14","13300000")</f>
        <v>13300000</v>
      </c>
      <c r="G68" s="4" t="str">
        <f>HYPERLINK("http://141.218.60.56/~jnz1568/getInfo.php?workbook=14_06.xlsx&amp;sheet=A0&amp;row=68&amp;col=7&amp;number=0&amp;sourceID=14","0")</f>
        <v>0</v>
      </c>
    </row>
    <row r="69" spans="1:7">
      <c r="A69" s="3">
        <v>14</v>
      </c>
      <c r="B69" s="3">
        <v>6</v>
      </c>
      <c r="C69" s="3">
        <v>28</v>
      </c>
      <c r="D69" s="3">
        <v>3</v>
      </c>
      <c r="E69" s="3">
        <v>-58.013</v>
      </c>
      <c r="F69" s="4" t="str">
        <f>HYPERLINK("http://141.218.60.56/~jnz1568/getInfo.php?workbook=14_06.xlsx&amp;sheet=A0&amp;row=69&amp;col=6&amp;number=16000000&amp;sourceID=14","16000000")</f>
        <v>16000000</v>
      </c>
      <c r="G69" s="4" t="str">
        <f>HYPERLINK("http://141.218.60.56/~jnz1568/getInfo.php?workbook=14_06.xlsx&amp;sheet=A0&amp;row=69&amp;col=7&amp;number=0&amp;sourceID=14","0")</f>
        <v>0</v>
      </c>
    </row>
    <row r="70" spans="1:7">
      <c r="A70" s="3">
        <v>14</v>
      </c>
      <c r="B70" s="3">
        <v>6</v>
      </c>
      <c r="C70" s="3">
        <v>29</v>
      </c>
      <c r="D70" s="3">
        <v>3</v>
      </c>
      <c r="E70" s="3">
        <v>-57.749</v>
      </c>
      <c r="F70" s="4" t="str">
        <f>HYPERLINK("http://141.218.60.56/~jnz1568/getInfo.php?workbook=14_06.xlsx&amp;sheet=A0&amp;row=70&amp;col=6&amp;number=167000&amp;sourceID=14","167000")</f>
        <v>167000</v>
      </c>
      <c r="G70" s="4" t="str">
        <f>HYPERLINK("http://141.218.60.56/~jnz1568/getInfo.php?workbook=14_06.xlsx&amp;sheet=A0&amp;row=70&amp;col=7&amp;number=0&amp;sourceID=14","0")</f>
        <v>0</v>
      </c>
    </row>
    <row r="71" spans="1:7">
      <c r="A71" s="3">
        <v>14</v>
      </c>
      <c r="B71" s="3">
        <v>6</v>
      </c>
      <c r="C71" s="3">
        <v>30</v>
      </c>
      <c r="D71" s="3">
        <v>3</v>
      </c>
      <c r="E71" s="3">
        <v>-57.291</v>
      </c>
      <c r="F71" s="4" t="str">
        <f>HYPERLINK("http://141.218.60.56/~jnz1568/getInfo.php?workbook=14_06.xlsx&amp;sheet=A0&amp;row=71&amp;col=6&amp;number=14800000&amp;sourceID=14","14800000")</f>
        <v>14800000</v>
      </c>
      <c r="G71" s="4" t="str">
        <f>HYPERLINK("http://141.218.60.56/~jnz1568/getInfo.php?workbook=14_06.xlsx&amp;sheet=A0&amp;row=71&amp;col=7&amp;number=0&amp;sourceID=14","0")</f>
        <v>0</v>
      </c>
    </row>
    <row r="72" spans="1:7">
      <c r="A72" s="3">
        <v>14</v>
      </c>
      <c r="B72" s="3">
        <v>6</v>
      </c>
      <c r="C72" s="3">
        <v>31</v>
      </c>
      <c r="D72" s="3">
        <v>3</v>
      </c>
      <c r="E72" s="3">
        <v>-57.226</v>
      </c>
      <c r="F72" s="4" t="str">
        <f>HYPERLINK("http://141.218.60.56/~jnz1568/getInfo.php?workbook=14_06.xlsx&amp;sheet=A0&amp;row=72&amp;col=6&amp;number=11300000&amp;sourceID=14","11300000")</f>
        <v>11300000</v>
      </c>
      <c r="G72" s="4" t="str">
        <f>HYPERLINK("http://141.218.60.56/~jnz1568/getInfo.php?workbook=14_06.xlsx&amp;sheet=A0&amp;row=72&amp;col=7&amp;number=0&amp;sourceID=14","0")</f>
        <v>0</v>
      </c>
    </row>
    <row r="73" spans="1:7">
      <c r="A73" s="3">
        <v>14</v>
      </c>
      <c r="B73" s="3">
        <v>6</v>
      </c>
      <c r="C73" s="3">
        <v>32</v>
      </c>
      <c r="D73" s="3">
        <v>3</v>
      </c>
      <c r="E73" s="3">
        <v>-57.152</v>
      </c>
      <c r="F73" s="4" t="str">
        <f>HYPERLINK("http://141.218.60.56/~jnz1568/getInfo.php?workbook=14_06.xlsx&amp;sheet=A0&amp;row=73&amp;col=6&amp;number=5820000&amp;sourceID=14","5820000")</f>
        <v>5820000</v>
      </c>
      <c r="G73" s="4" t="str">
        <f>HYPERLINK("http://141.218.60.56/~jnz1568/getInfo.php?workbook=14_06.xlsx&amp;sheet=A0&amp;row=73&amp;col=7&amp;number=0&amp;sourceID=14","0")</f>
        <v>0</v>
      </c>
    </row>
    <row r="74" spans="1:7">
      <c r="A74" s="3">
        <v>14</v>
      </c>
      <c r="B74" s="3">
        <v>6</v>
      </c>
      <c r="C74" s="3">
        <v>33</v>
      </c>
      <c r="D74" s="3">
        <v>3</v>
      </c>
      <c r="E74" s="3">
        <v>-56.602</v>
      </c>
      <c r="F74" s="4" t="str">
        <f>HYPERLINK("http://141.218.60.56/~jnz1568/getInfo.php?workbook=14_06.xlsx&amp;sheet=A0&amp;row=74&amp;col=6&amp;number=137000&amp;sourceID=14","137000")</f>
        <v>137000</v>
      </c>
      <c r="G74" s="4" t="str">
        <f>HYPERLINK("http://141.218.60.56/~jnz1568/getInfo.php?workbook=14_06.xlsx&amp;sheet=A0&amp;row=74&amp;col=7&amp;number=0&amp;sourceID=14","0")</f>
        <v>0</v>
      </c>
    </row>
    <row r="75" spans="1:7">
      <c r="A75" s="3">
        <v>14</v>
      </c>
      <c r="B75" s="3">
        <v>6</v>
      </c>
      <c r="C75" s="3">
        <v>34</v>
      </c>
      <c r="D75" s="3">
        <v>3</v>
      </c>
      <c r="E75" s="3">
        <v>-55.739</v>
      </c>
      <c r="F75" s="4" t="str">
        <f>HYPERLINK("http://141.218.60.56/~jnz1568/getInfo.php?workbook=14_06.xlsx&amp;sheet=A0&amp;row=75&amp;col=6&amp;number=30000&amp;sourceID=14","30000")</f>
        <v>30000</v>
      </c>
      <c r="G75" s="4" t="str">
        <f>HYPERLINK("http://141.218.60.56/~jnz1568/getInfo.php?workbook=14_06.xlsx&amp;sheet=A0&amp;row=75&amp;col=7&amp;number=0&amp;sourceID=14","0")</f>
        <v>0</v>
      </c>
    </row>
    <row r="76" spans="1:7">
      <c r="A76" s="3">
        <v>14</v>
      </c>
      <c r="B76" s="3">
        <v>6</v>
      </c>
      <c r="C76" s="3">
        <v>35</v>
      </c>
      <c r="D76" s="3">
        <v>3</v>
      </c>
      <c r="E76" s="3">
        <v>-55.424</v>
      </c>
      <c r="F76" s="4" t="str">
        <f>HYPERLINK("http://141.218.60.56/~jnz1568/getInfo.php?workbook=14_06.xlsx&amp;sheet=A0&amp;row=76&amp;col=6&amp;number=4040000000&amp;sourceID=14","4040000000")</f>
        <v>4040000000</v>
      </c>
      <c r="G76" s="4" t="str">
        <f>HYPERLINK("http://141.218.60.56/~jnz1568/getInfo.php?workbook=14_06.xlsx&amp;sheet=A0&amp;row=76&amp;col=7&amp;number=0&amp;sourceID=14","0")</f>
        <v>0</v>
      </c>
    </row>
    <row r="77" spans="1:7">
      <c r="A77" s="3">
        <v>14</v>
      </c>
      <c r="B77" s="3">
        <v>6</v>
      </c>
      <c r="C77" s="3">
        <v>36</v>
      </c>
      <c r="D77" s="3">
        <v>3</v>
      </c>
      <c r="E77" s="3">
        <v>-55.326</v>
      </c>
      <c r="F77" s="4" t="str">
        <f>HYPERLINK("http://141.218.60.56/~jnz1568/getInfo.php?workbook=14_06.xlsx&amp;sheet=A0&amp;row=77&amp;col=6&amp;number=12200000000&amp;sourceID=14","12200000000")</f>
        <v>12200000000</v>
      </c>
      <c r="G77" s="4" t="str">
        <f>HYPERLINK("http://141.218.60.56/~jnz1568/getInfo.php?workbook=14_06.xlsx&amp;sheet=A0&amp;row=77&amp;col=7&amp;number=0&amp;sourceID=14","0")</f>
        <v>0</v>
      </c>
    </row>
    <row r="78" spans="1:7">
      <c r="A78" s="3">
        <v>14</v>
      </c>
      <c r="B78" s="3">
        <v>6</v>
      </c>
      <c r="C78" s="3">
        <v>37</v>
      </c>
      <c r="D78" s="3">
        <v>3</v>
      </c>
      <c r="E78" s="3">
        <v>55.94</v>
      </c>
      <c r="F78" s="4" t="str">
        <f>HYPERLINK("http://141.218.60.56/~jnz1568/getInfo.php?workbook=14_06.xlsx&amp;sheet=A0&amp;row=78&amp;col=6&amp;number=3200000000&amp;sourceID=14","3200000000")</f>
        <v>3200000000</v>
      </c>
      <c r="G78" s="4" t="str">
        <f>HYPERLINK("http://141.218.60.56/~jnz1568/getInfo.php?workbook=14_06.xlsx&amp;sheet=A0&amp;row=78&amp;col=7&amp;number=0&amp;sourceID=14","0")</f>
        <v>0</v>
      </c>
    </row>
    <row r="79" spans="1:7">
      <c r="A79" s="3">
        <v>14</v>
      </c>
      <c r="B79" s="3">
        <v>6</v>
      </c>
      <c r="C79" s="3">
        <v>39</v>
      </c>
      <c r="D79" s="3">
        <v>3</v>
      </c>
      <c r="E79" s="3">
        <v>55.502</v>
      </c>
      <c r="F79" s="4" t="str">
        <f>HYPERLINK("http://141.218.60.56/~jnz1568/getInfo.php?workbook=14_06.xlsx&amp;sheet=A0&amp;row=79&amp;col=6&amp;number=948000000&amp;sourceID=14","948000000")</f>
        <v>948000000</v>
      </c>
      <c r="G79" s="4" t="str">
        <f>HYPERLINK("http://141.218.60.56/~jnz1568/getInfo.php?workbook=14_06.xlsx&amp;sheet=A0&amp;row=79&amp;col=7&amp;number=0&amp;sourceID=14","0")</f>
        <v>0</v>
      </c>
    </row>
    <row r="80" spans="1:7">
      <c r="A80" s="3">
        <v>14</v>
      </c>
      <c r="B80" s="3">
        <v>6</v>
      </c>
      <c r="C80" s="3">
        <v>40</v>
      </c>
      <c r="D80" s="3">
        <v>3</v>
      </c>
      <c r="E80" s="3">
        <v>55.475</v>
      </c>
      <c r="F80" s="4" t="str">
        <f>HYPERLINK("http://141.218.60.56/~jnz1568/getInfo.php?workbook=14_06.xlsx&amp;sheet=A0&amp;row=80&amp;col=6&amp;number=31000000000&amp;sourceID=14","31000000000")</f>
        <v>31000000000</v>
      </c>
      <c r="G80" s="4" t="str">
        <f>HYPERLINK("http://141.218.60.56/~jnz1568/getInfo.php?workbook=14_06.xlsx&amp;sheet=A0&amp;row=80&amp;col=7&amp;number=0&amp;sourceID=14","0")</f>
        <v>0</v>
      </c>
    </row>
    <row r="81" spans="1:7">
      <c r="A81" s="3">
        <v>14</v>
      </c>
      <c r="B81" s="3">
        <v>6</v>
      </c>
      <c r="C81" s="3">
        <v>41</v>
      </c>
      <c r="D81" s="3">
        <v>3</v>
      </c>
      <c r="E81" s="3">
        <v>55.401</v>
      </c>
      <c r="F81" s="4" t="str">
        <f>HYPERLINK("http://141.218.60.56/~jnz1568/getInfo.php?workbook=14_06.xlsx&amp;sheet=A0&amp;row=81&amp;col=6&amp;number=1110000000000&amp;sourceID=14","1110000000000")</f>
        <v>1110000000000</v>
      </c>
      <c r="G81" s="4" t="str">
        <f>HYPERLINK("http://141.218.60.56/~jnz1568/getInfo.php?workbook=14_06.xlsx&amp;sheet=A0&amp;row=81&amp;col=7&amp;number=0&amp;sourceID=14","0")</f>
        <v>0</v>
      </c>
    </row>
    <row r="82" spans="1:7">
      <c r="A82" s="3">
        <v>14</v>
      </c>
      <c r="B82" s="3">
        <v>6</v>
      </c>
      <c r="C82" s="3">
        <v>42</v>
      </c>
      <c r="D82" s="3">
        <v>3</v>
      </c>
      <c r="E82" s="3">
        <v>55.272</v>
      </c>
      <c r="F82" s="4" t="str">
        <f>HYPERLINK("http://141.218.60.56/~jnz1568/getInfo.php?workbook=14_06.xlsx&amp;sheet=A0&amp;row=82&amp;col=6&amp;number=696000000000&amp;sourceID=14","696000000000")</f>
        <v>696000000000</v>
      </c>
      <c r="G82" s="4" t="str">
        <f>HYPERLINK("http://141.218.60.56/~jnz1568/getInfo.php?workbook=14_06.xlsx&amp;sheet=A0&amp;row=82&amp;col=7&amp;number=0&amp;sourceID=14","0")</f>
        <v>0</v>
      </c>
    </row>
    <row r="83" spans="1:7">
      <c r="A83" s="3">
        <v>14</v>
      </c>
      <c r="B83" s="3">
        <v>6</v>
      </c>
      <c r="C83" s="3">
        <v>43</v>
      </c>
      <c r="D83" s="3">
        <v>3</v>
      </c>
      <c r="E83" s="3">
        <v>55.234</v>
      </c>
      <c r="F83" s="4" t="str">
        <f>HYPERLINK("http://141.218.60.56/~jnz1568/getInfo.php?workbook=14_06.xlsx&amp;sheet=A0&amp;row=83&amp;col=6&amp;number=282000000000&amp;sourceID=14","282000000000")</f>
        <v>282000000000</v>
      </c>
      <c r="G83" s="4" t="str">
        <f>HYPERLINK("http://141.218.60.56/~jnz1568/getInfo.php?workbook=14_06.xlsx&amp;sheet=A0&amp;row=83&amp;col=7&amp;number=0&amp;sourceID=14","0")</f>
        <v>0</v>
      </c>
    </row>
    <row r="84" spans="1:7">
      <c r="A84" s="3">
        <v>14</v>
      </c>
      <c r="B84" s="3">
        <v>6</v>
      </c>
      <c r="C84" s="3">
        <v>45</v>
      </c>
      <c r="D84" s="3">
        <v>3</v>
      </c>
      <c r="E84" s="3">
        <v>54.581</v>
      </c>
      <c r="F84" s="4" t="str">
        <f>HYPERLINK("http://141.218.60.56/~jnz1568/getInfo.php?workbook=14_06.xlsx&amp;sheet=A0&amp;row=84&amp;col=6&amp;number=37000000&amp;sourceID=14","37000000")</f>
        <v>37000000</v>
      </c>
      <c r="G84" s="4" t="str">
        <f>HYPERLINK("http://141.218.60.56/~jnz1568/getInfo.php?workbook=14_06.xlsx&amp;sheet=A0&amp;row=84&amp;col=7&amp;number=0&amp;sourceID=14","0")</f>
        <v>0</v>
      </c>
    </row>
    <row r="85" spans="1:7">
      <c r="A85" s="3">
        <v>14</v>
      </c>
      <c r="B85" s="3">
        <v>6</v>
      </c>
      <c r="C85" s="3">
        <v>46</v>
      </c>
      <c r="D85" s="3">
        <v>3</v>
      </c>
      <c r="E85" s="3">
        <v>54.604</v>
      </c>
      <c r="F85" s="4" t="str">
        <f>HYPERLINK("http://141.218.60.56/~jnz1568/getInfo.php?workbook=14_06.xlsx&amp;sheet=A0&amp;row=85&amp;col=6&amp;number=192000000&amp;sourceID=14","192000000")</f>
        <v>192000000</v>
      </c>
      <c r="G85" s="4" t="str">
        <f>HYPERLINK("http://141.218.60.56/~jnz1568/getInfo.php?workbook=14_06.xlsx&amp;sheet=A0&amp;row=85&amp;col=7&amp;number=0&amp;sourceID=14","0")</f>
        <v>0</v>
      </c>
    </row>
    <row r="86" spans="1:7">
      <c r="A86" s="3">
        <v>14</v>
      </c>
      <c r="B86" s="3">
        <v>6</v>
      </c>
      <c r="C86" s="3">
        <v>6</v>
      </c>
      <c r="D86" s="3">
        <v>4</v>
      </c>
      <c r="E86" s="3">
        <v>1026.306</v>
      </c>
      <c r="F86" s="4" t="str">
        <f>HYPERLINK("http://141.218.60.56/~jnz1568/getInfo.php?workbook=14_06.xlsx&amp;sheet=A0&amp;row=86&amp;col=6&amp;number=81.6&amp;sourceID=14","81.6")</f>
        <v>81.6</v>
      </c>
      <c r="G86" s="4" t="str">
        <f>HYPERLINK("http://141.218.60.56/~jnz1568/getInfo.php?workbook=14_06.xlsx&amp;sheet=A0&amp;row=86&amp;col=7&amp;number=0&amp;sourceID=14","0")</f>
        <v>0</v>
      </c>
    </row>
    <row r="87" spans="1:7">
      <c r="A87" s="3">
        <v>14</v>
      </c>
      <c r="B87" s="3">
        <v>6</v>
      </c>
      <c r="C87" s="3">
        <v>7</v>
      </c>
      <c r="D87" s="3">
        <v>4</v>
      </c>
      <c r="E87" s="3">
        <v>417.759</v>
      </c>
      <c r="F87" s="4" t="str">
        <f>HYPERLINK("http://141.218.60.56/~jnz1568/getInfo.php?workbook=14_06.xlsx&amp;sheet=A0&amp;row=87&amp;col=6&amp;number=1060000&amp;sourceID=14","1060000")</f>
        <v>1060000</v>
      </c>
      <c r="G87" s="4" t="str">
        <f>HYPERLINK("http://141.218.60.56/~jnz1568/getInfo.php?workbook=14_06.xlsx&amp;sheet=A0&amp;row=87&amp;col=7&amp;number=0&amp;sourceID=14","0")</f>
        <v>0</v>
      </c>
    </row>
    <row r="88" spans="1:7">
      <c r="A88" s="3">
        <v>14</v>
      </c>
      <c r="B88" s="3">
        <v>6</v>
      </c>
      <c r="C88" s="3">
        <v>8</v>
      </c>
      <c r="D88" s="3">
        <v>4</v>
      </c>
      <c r="E88" s="3">
        <v>417.515</v>
      </c>
      <c r="F88" s="4" t="str">
        <f>HYPERLINK("http://141.218.60.56/~jnz1568/getInfo.php?workbook=14_06.xlsx&amp;sheet=A0&amp;row=88&amp;col=6&amp;number=899000&amp;sourceID=14","899000")</f>
        <v>899000</v>
      </c>
      <c r="G88" s="4" t="str">
        <f>HYPERLINK("http://141.218.60.56/~jnz1568/getInfo.php?workbook=14_06.xlsx&amp;sheet=A0&amp;row=88&amp;col=7&amp;number=0&amp;sourceID=14","0")</f>
        <v>0</v>
      </c>
    </row>
    <row r="89" spans="1:7">
      <c r="A89" s="3">
        <v>14</v>
      </c>
      <c r="B89" s="3">
        <v>6</v>
      </c>
      <c r="C89" s="3">
        <v>9</v>
      </c>
      <c r="D89" s="3">
        <v>4</v>
      </c>
      <c r="E89" s="3">
        <v>417.857</v>
      </c>
      <c r="F89" s="4" t="str">
        <f>HYPERLINK("http://141.218.60.56/~jnz1568/getInfo.php?workbook=14_06.xlsx&amp;sheet=A0&amp;row=89&amp;col=6&amp;number=5220000&amp;sourceID=14","5220000")</f>
        <v>5220000</v>
      </c>
      <c r="G89" s="4" t="str">
        <f>HYPERLINK("http://141.218.60.56/~jnz1568/getInfo.php?workbook=14_06.xlsx&amp;sheet=A0&amp;row=89&amp;col=7&amp;number=0&amp;sourceID=14","0")</f>
        <v>0</v>
      </c>
    </row>
    <row r="90" spans="1:7">
      <c r="A90" s="3">
        <v>14</v>
      </c>
      <c r="B90" s="3">
        <v>6</v>
      </c>
      <c r="C90" s="3">
        <v>11</v>
      </c>
      <c r="D90" s="3">
        <v>4</v>
      </c>
      <c r="E90" s="3">
        <v>343.542</v>
      </c>
      <c r="F90" s="4" t="str">
        <f>HYPERLINK("http://141.218.60.56/~jnz1568/getInfo.php?workbook=14_06.xlsx&amp;sheet=A0&amp;row=90&amp;col=6&amp;number=6400000&amp;sourceID=14","6400000")</f>
        <v>6400000</v>
      </c>
      <c r="G90" s="4" t="str">
        <f>HYPERLINK("http://141.218.60.56/~jnz1568/getInfo.php?workbook=14_06.xlsx&amp;sheet=A0&amp;row=90&amp;col=7&amp;number=0&amp;sourceID=14","0")</f>
        <v>0</v>
      </c>
    </row>
    <row r="91" spans="1:7">
      <c r="A91" s="3">
        <v>14</v>
      </c>
      <c r="B91" s="3">
        <v>6</v>
      </c>
      <c r="C91" s="3">
        <v>12</v>
      </c>
      <c r="D91" s="3">
        <v>4</v>
      </c>
      <c r="E91" s="3">
        <v>343.411</v>
      </c>
      <c r="F91" s="4" t="str">
        <f>HYPERLINK("http://141.218.60.56/~jnz1568/getInfo.php?workbook=14_06.xlsx&amp;sheet=A0&amp;row=91&amp;col=6&amp;number=1490000&amp;sourceID=14","1490000")</f>
        <v>1490000</v>
      </c>
      <c r="G91" s="4" t="str">
        <f>HYPERLINK("http://141.218.60.56/~jnz1568/getInfo.php?workbook=14_06.xlsx&amp;sheet=A0&amp;row=91&amp;col=7&amp;number=0&amp;sourceID=14","0")</f>
        <v>0</v>
      </c>
    </row>
    <row r="92" spans="1:7">
      <c r="A92" s="3">
        <v>14</v>
      </c>
      <c r="B92" s="3">
        <v>6</v>
      </c>
      <c r="C92" s="3">
        <v>13</v>
      </c>
      <c r="D92" s="3">
        <v>4</v>
      </c>
      <c r="E92" s="3">
        <v>258.082</v>
      </c>
      <c r="F92" s="4" t="str">
        <f>HYPERLINK("http://141.218.60.56/~jnz1568/getInfo.php?workbook=14_06.xlsx&amp;sheet=A0&amp;row=92&amp;col=6&amp;number=20300000000&amp;sourceID=14","20300000000")</f>
        <v>20300000000</v>
      </c>
      <c r="G92" s="4" t="str">
        <f>HYPERLINK("http://141.218.60.56/~jnz1568/getInfo.php?workbook=14_06.xlsx&amp;sheet=A0&amp;row=92&amp;col=7&amp;number=0&amp;sourceID=14","0")</f>
        <v>0</v>
      </c>
    </row>
    <row r="93" spans="1:7">
      <c r="A93" s="3">
        <v>14</v>
      </c>
      <c r="B93" s="3">
        <v>6</v>
      </c>
      <c r="C93" s="3">
        <v>14</v>
      </c>
      <c r="D93" s="3">
        <v>4</v>
      </c>
      <c r="E93" s="3">
        <v>253.799</v>
      </c>
      <c r="F93" s="4" t="str">
        <f>HYPERLINK("http://141.218.60.56/~jnz1568/getInfo.php?workbook=14_06.xlsx&amp;sheet=A0&amp;row=93&amp;col=6&amp;number=13400000&amp;sourceID=14","13400000")</f>
        <v>13400000</v>
      </c>
      <c r="G93" s="4" t="str">
        <f>HYPERLINK("http://141.218.60.56/~jnz1568/getInfo.php?workbook=14_06.xlsx&amp;sheet=A0&amp;row=93&amp;col=7&amp;number=0&amp;sourceID=14","0")</f>
        <v>0</v>
      </c>
    </row>
    <row r="94" spans="1:7">
      <c r="A94" s="3">
        <v>14</v>
      </c>
      <c r="B94" s="3">
        <v>6</v>
      </c>
      <c r="C94" s="3">
        <v>15</v>
      </c>
      <c r="D94" s="3">
        <v>4</v>
      </c>
      <c r="E94" s="3">
        <v>227.362</v>
      </c>
      <c r="F94" s="4" t="str">
        <f>HYPERLINK("http://141.218.60.56/~jnz1568/getInfo.php?workbook=14_06.xlsx&amp;sheet=A0&amp;row=94&amp;col=6&amp;number=27700000000&amp;sourceID=14","27700000000")</f>
        <v>27700000000</v>
      </c>
      <c r="G94" s="4" t="str">
        <f>HYPERLINK("http://141.218.60.56/~jnz1568/getInfo.php?workbook=14_06.xlsx&amp;sheet=A0&amp;row=94&amp;col=7&amp;number=0&amp;sourceID=14","0")</f>
        <v>0</v>
      </c>
    </row>
    <row r="95" spans="1:7">
      <c r="A95" s="3">
        <v>14</v>
      </c>
      <c r="B95" s="3">
        <v>6</v>
      </c>
      <c r="C95" s="3">
        <v>19</v>
      </c>
      <c r="D95" s="3">
        <v>4</v>
      </c>
      <c r="E95" s="3">
        <v>150.019</v>
      </c>
      <c r="F95" s="4" t="str">
        <f>HYPERLINK("http://141.218.60.56/~jnz1568/getInfo.php?workbook=14_06.xlsx&amp;sheet=A0&amp;row=95&amp;col=6&amp;number=31600&amp;sourceID=14","31600")</f>
        <v>31600</v>
      </c>
      <c r="G95" s="4" t="str">
        <f>HYPERLINK("http://141.218.60.56/~jnz1568/getInfo.php?workbook=14_06.xlsx&amp;sheet=A0&amp;row=95&amp;col=7&amp;number=0&amp;sourceID=14","0")</f>
        <v>0</v>
      </c>
    </row>
    <row r="96" spans="1:7">
      <c r="A96" s="3">
        <v>14</v>
      </c>
      <c r="B96" s="3">
        <v>6</v>
      </c>
      <c r="C96" s="3">
        <v>20</v>
      </c>
      <c r="D96" s="3">
        <v>4</v>
      </c>
      <c r="E96" s="3">
        <v>130.414</v>
      </c>
      <c r="F96" s="4" t="str">
        <f>HYPERLINK("http://141.218.60.56/~jnz1568/getInfo.php?workbook=14_06.xlsx&amp;sheet=A0&amp;row=96&amp;col=6&amp;number=37700&amp;sourceID=14","37700")</f>
        <v>37700</v>
      </c>
      <c r="G96" s="4" t="str">
        <f>HYPERLINK("http://141.218.60.56/~jnz1568/getInfo.php?workbook=14_06.xlsx&amp;sheet=A0&amp;row=96&amp;col=7&amp;number=0&amp;sourceID=14","0")</f>
        <v>0</v>
      </c>
    </row>
    <row r="97" spans="1:7">
      <c r="A97" s="3">
        <v>14</v>
      </c>
      <c r="B97" s="3">
        <v>6</v>
      </c>
      <c r="C97" s="3">
        <v>22</v>
      </c>
      <c r="D97" s="3">
        <v>4</v>
      </c>
      <c r="E97" s="3">
        <v>63.676</v>
      </c>
      <c r="F97" s="4" t="str">
        <f>HYPERLINK("http://141.218.60.56/~jnz1568/getInfo.php?workbook=14_06.xlsx&amp;sheet=A0&amp;row=97&amp;col=6&amp;number=2790000000&amp;sourceID=14","2790000000")</f>
        <v>2790000000</v>
      </c>
      <c r="G97" s="4" t="str">
        <f>HYPERLINK("http://141.218.60.56/~jnz1568/getInfo.php?workbook=14_06.xlsx&amp;sheet=A0&amp;row=97&amp;col=7&amp;number=0&amp;sourceID=14","0")</f>
        <v>0</v>
      </c>
    </row>
    <row r="98" spans="1:7">
      <c r="A98" s="3">
        <v>14</v>
      </c>
      <c r="B98" s="3">
        <v>6</v>
      </c>
      <c r="C98" s="3">
        <v>23</v>
      </c>
      <c r="D98" s="3">
        <v>4</v>
      </c>
      <c r="E98" s="3">
        <v>63.469</v>
      </c>
      <c r="F98" s="4" t="str">
        <f>HYPERLINK("http://141.218.60.56/~jnz1568/getInfo.php?workbook=14_06.xlsx&amp;sheet=A0&amp;row=98&amp;col=6&amp;number=331000000&amp;sourceID=14","331000000")</f>
        <v>331000000</v>
      </c>
      <c r="G98" s="4" t="str">
        <f>HYPERLINK("http://141.218.60.56/~jnz1568/getInfo.php?workbook=14_06.xlsx&amp;sheet=A0&amp;row=98&amp;col=7&amp;number=0&amp;sourceID=14","0")</f>
        <v>0</v>
      </c>
    </row>
    <row r="99" spans="1:7">
      <c r="A99" s="3">
        <v>14</v>
      </c>
      <c r="B99" s="3">
        <v>6</v>
      </c>
      <c r="C99" s="3">
        <v>24</v>
      </c>
      <c r="D99" s="3">
        <v>4</v>
      </c>
      <c r="E99" s="3">
        <v>62.975</v>
      </c>
      <c r="F99" s="4" t="str">
        <f>HYPERLINK("http://141.218.60.56/~jnz1568/getInfo.php?workbook=14_06.xlsx&amp;sheet=A0&amp;row=99&amp;col=6&amp;number=130000000000&amp;sourceID=14","130000000000")</f>
        <v>130000000000</v>
      </c>
      <c r="G99" s="4" t="str">
        <f>HYPERLINK("http://141.218.60.56/~jnz1568/getInfo.php?workbook=14_06.xlsx&amp;sheet=A0&amp;row=99&amp;col=7&amp;number=0&amp;sourceID=14","0")</f>
        <v>0</v>
      </c>
    </row>
    <row r="100" spans="1:7">
      <c r="A100" s="3">
        <v>14</v>
      </c>
      <c r="B100" s="3">
        <v>6</v>
      </c>
      <c r="C100" s="3">
        <v>25</v>
      </c>
      <c r="D100" s="3">
        <v>4</v>
      </c>
      <c r="E100" s="3">
        <v>-60.126</v>
      </c>
      <c r="F100" s="4" t="str">
        <f>HYPERLINK("http://141.218.60.56/~jnz1568/getInfo.php?workbook=14_06.xlsx&amp;sheet=A0&amp;row=100&amp;col=6&amp;number=27200000&amp;sourceID=14","27200000")</f>
        <v>27200000</v>
      </c>
      <c r="G100" s="4" t="str">
        <f>HYPERLINK("http://141.218.60.56/~jnz1568/getInfo.php?workbook=14_06.xlsx&amp;sheet=A0&amp;row=100&amp;col=7&amp;number=0&amp;sourceID=14","0")</f>
        <v>0</v>
      </c>
    </row>
    <row r="101" spans="1:7">
      <c r="A101" s="3">
        <v>14</v>
      </c>
      <c r="B101" s="3">
        <v>6</v>
      </c>
      <c r="C101" s="3">
        <v>26</v>
      </c>
      <c r="D101" s="3">
        <v>4</v>
      </c>
      <c r="E101" s="3">
        <v>-59.916</v>
      </c>
      <c r="F101" s="4" t="str">
        <f>HYPERLINK("http://141.218.60.56/~jnz1568/getInfo.php?workbook=14_06.xlsx&amp;sheet=A0&amp;row=101&amp;col=6&amp;number=8740000&amp;sourceID=14","8740000")</f>
        <v>8740000</v>
      </c>
      <c r="G101" s="4" t="str">
        <f>HYPERLINK("http://141.218.60.56/~jnz1568/getInfo.php?workbook=14_06.xlsx&amp;sheet=A0&amp;row=101&amp;col=7&amp;number=0&amp;sourceID=14","0")</f>
        <v>0</v>
      </c>
    </row>
    <row r="102" spans="1:7">
      <c r="A102" s="3">
        <v>14</v>
      </c>
      <c r="B102" s="3">
        <v>6</v>
      </c>
      <c r="C102" s="3">
        <v>28</v>
      </c>
      <c r="D102" s="3">
        <v>4</v>
      </c>
      <c r="E102" s="3">
        <v>-59.715</v>
      </c>
      <c r="F102" s="4" t="str">
        <f>HYPERLINK("http://141.218.60.56/~jnz1568/getInfo.php?workbook=14_06.xlsx&amp;sheet=A0&amp;row=102&amp;col=6&amp;number=70200&amp;sourceID=14","70200")</f>
        <v>70200</v>
      </c>
      <c r="G102" s="4" t="str">
        <f>HYPERLINK("http://141.218.60.56/~jnz1568/getInfo.php?workbook=14_06.xlsx&amp;sheet=A0&amp;row=102&amp;col=7&amp;number=0&amp;sourceID=14","0")</f>
        <v>0</v>
      </c>
    </row>
    <row r="103" spans="1:7">
      <c r="A103" s="3">
        <v>14</v>
      </c>
      <c r="B103" s="3">
        <v>6</v>
      </c>
      <c r="C103" s="3">
        <v>29</v>
      </c>
      <c r="D103" s="3">
        <v>4</v>
      </c>
      <c r="E103" s="3">
        <v>-59.436</v>
      </c>
      <c r="F103" s="4" t="str">
        <f>HYPERLINK("http://141.218.60.56/~jnz1568/getInfo.php?workbook=14_06.xlsx&amp;sheet=A0&amp;row=103&amp;col=6&amp;number=733000&amp;sourceID=14","733000")</f>
        <v>733000</v>
      </c>
      <c r="G103" s="4" t="str">
        <f>HYPERLINK("http://141.218.60.56/~jnz1568/getInfo.php?workbook=14_06.xlsx&amp;sheet=A0&amp;row=103&amp;col=7&amp;number=0&amp;sourceID=14","0")</f>
        <v>0</v>
      </c>
    </row>
    <row r="104" spans="1:7">
      <c r="A104" s="3">
        <v>14</v>
      </c>
      <c r="B104" s="3">
        <v>6</v>
      </c>
      <c r="C104" s="3">
        <v>30</v>
      </c>
      <c r="D104" s="3">
        <v>4</v>
      </c>
      <c r="E104" s="3">
        <v>-58.95</v>
      </c>
      <c r="F104" s="4" t="str">
        <f>HYPERLINK("http://141.218.60.56/~jnz1568/getInfo.php?workbook=14_06.xlsx&amp;sheet=A0&amp;row=104&amp;col=6&amp;number=147000&amp;sourceID=14","147000")</f>
        <v>147000</v>
      </c>
      <c r="G104" s="4" t="str">
        <f>HYPERLINK("http://141.218.60.56/~jnz1568/getInfo.php?workbook=14_06.xlsx&amp;sheet=A0&amp;row=104&amp;col=7&amp;number=0&amp;sourceID=14","0")</f>
        <v>0</v>
      </c>
    </row>
    <row r="105" spans="1:7">
      <c r="A105" s="3">
        <v>14</v>
      </c>
      <c r="B105" s="3">
        <v>6</v>
      </c>
      <c r="C105" s="3">
        <v>31</v>
      </c>
      <c r="D105" s="3">
        <v>4</v>
      </c>
      <c r="E105" s="3">
        <v>-58.882</v>
      </c>
      <c r="F105" s="4" t="str">
        <f>HYPERLINK("http://141.218.60.56/~jnz1568/getInfo.php?workbook=14_06.xlsx&amp;sheet=A0&amp;row=105&amp;col=6&amp;number=162000&amp;sourceID=14","162000")</f>
        <v>162000</v>
      </c>
      <c r="G105" s="4" t="str">
        <f>HYPERLINK("http://141.218.60.56/~jnz1568/getInfo.php?workbook=14_06.xlsx&amp;sheet=A0&amp;row=105&amp;col=7&amp;number=0&amp;sourceID=14","0")</f>
        <v>0</v>
      </c>
    </row>
    <row r="106" spans="1:7">
      <c r="A106" s="3">
        <v>14</v>
      </c>
      <c r="B106" s="3">
        <v>6</v>
      </c>
      <c r="C106" s="3">
        <v>32</v>
      </c>
      <c r="D106" s="3">
        <v>4</v>
      </c>
      <c r="E106" s="3">
        <v>-58.803</v>
      </c>
      <c r="F106" s="4" t="str">
        <f>HYPERLINK("http://141.218.60.56/~jnz1568/getInfo.php?workbook=14_06.xlsx&amp;sheet=A0&amp;row=106&amp;col=6&amp;number=419000&amp;sourceID=14","419000")</f>
        <v>419000</v>
      </c>
      <c r="G106" s="4" t="str">
        <f>HYPERLINK("http://141.218.60.56/~jnz1568/getInfo.php?workbook=14_06.xlsx&amp;sheet=A0&amp;row=106&amp;col=7&amp;number=0&amp;sourceID=14","0")</f>
        <v>0</v>
      </c>
    </row>
    <row r="107" spans="1:7">
      <c r="A107" s="3">
        <v>14</v>
      </c>
      <c r="B107" s="3">
        <v>6</v>
      </c>
      <c r="C107" s="3">
        <v>33</v>
      </c>
      <c r="D107" s="3">
        <v>4</v>
      </c>
      <c r="E107" s="3">
        <v>-58.221</v>
      </c>
      <c r="F107" s="4" t="str">
        <f>HYPERLINK("http://141.218.60.56/~jnz1568/getInfo.php?workbook=14_06.xlsx&amp;sheet=A0&amp;row=107&amp;col=6&amp;number=19700000&amp;sourceID=14","19700000")</f>
        <v>19700000</v>
      </c>
      <c r="G107" s="4" t="str">
        <f>HYPERLINK("http://141.218.60.56/~jnz1568/getInfo.php?workbook=14_06.xlsx&amp;sheet=A0&amp;row=107&amp;col=7&amp;number=0&amp;sourceID=14","0")</f>
        <v>0</v>
      </c>
    </row>
    <row r="108" spans="1:7">
      <c r="A108" s="3">
        <v>14</v>
      </c>
      <c r="B108" s="3">
        <v>6</v>
      </c>
      <c r="C108" s="3">
        <v>34</v>
      </c>
      <c r="D108" s="3">
        <v>4</v>
      </c>
      <c r="E108" s="3">
        <v>-57.309</v>
      </c>
      <c r="F108" s="4" t="str">
        <f>HYPERLINK("http://141.218.60.56/~jnz1568/getInfo.php?workbook=14_06.xlsx&amp;sheet=A0&amp;row=108&amp;col=6&amp;number=59400000&amp;sourceID=14","59400000")</f>
        <v>59400000</v>
      </c>
      <c r="G108" s="4" t="str">
        <f>HYPERLINK("http://141.218.60.56/~jnz1568/getInfo.php?workbook=14_06.xlsx&amp;sheet=A0&amp;row=108&amp;col=7&amp;number=0&amp;sourceID=14","0")</f>
        <v>0</v>
      </c>
    </row>
    <row r="109" spans="1:7">
      <c r="A109" s="3">
        <v>14</v>
      </c>
      <c r="B109" s="3">
        <v>6</v>
      </c>
      <c r="C109" s="3">
        <v>35</v>
      </c>
      <c r="D109" s="3">
        <v>4</v>
      </c>
      <c r="E109" s="3">
        <v>-56.976</v>
      </c>
      <c r="F109" s="4" t="str">
        <f>HYPERLINK("http://141.218.60.56/~jnz1568/getInfo.php?workbook=14_06.xlsx&amp;sheet=A0&amp;row=109&amp;col=6&amp;number=66700000000&amp;sourceID=14","66700000000")</f>
        <v>66700000000</v>
      </c>
      <c r="G109" s="4" t="str">
        <f>HYPERLINK("http://141.218.60.56/~jnz1568/getInfo.php?workbook=14_06.xlsx&amp;sheet=A0&amp;row=109&amp;col=7&amp;number=0&amp;sourceID=14","0")</f>
        <v>0</v>
      </c>
    </row>
    <row r="110" spans="1:7">
      <c r="A110" s="3">
        <v>14</v>
      </c>
      <c r="B110" s="3">
        <v>6</v>
      </c>
      <c r="C110" s="3">
        <v>36</v>
      </c>
      <c r="D110" s="3">
        <v>4</v>
      </c>
      <c r="E110" s="3">
        <v>-56.873</v>
      </c>
      <c r="F110" s="4" t="str">
        <f>HYPERLINK("http://141.218.60.56/~jnz1568/getInfo.php?workbook=14_06.xlsx&amp;sheet=A0&amp;row=110&amp;col=6&amp;number=2800000000&amp;sourceID=14","2800000000")</f>
        <v>2800000000</v>
      </c>
      <c r="G110" s="4" t="str">
        <f>HYPERLINK("http://141.218.60.56/~jnz1568/getInfo.php?workbook=14_06.xlsx&amp;sheet=A0&amp;row=110&amp;col=7&amp;number=0&amp;sourceID=14","0")</f>
        <v>0</v>
      </c>
    </row>
    <row r="111" spans="1:7">
      <c r="A111" s="3">
        <v>14</v>
      </c>
      <c r="B111" s="3">
        <v>6</v>
      </c>
      <c r="C111" s="3">
        <v>37</v>
      </c>
      <c r="D111" s="3">
        <v>4</v>
      </c>
      <c r="E111" s="3">
        <v>57.434</v>
      </c>
      <c r="F111" s="4" t="str">
        <f>HYPERLINK("http://141.218.60.56/~jnz1568/getInfo.php?workbook=14_06.xlsx&amp;sheet=A0&amp;row=111&amp;col=6&amp;number=309000000000&amp;sourceID=14","309000000000")</f>
        <v>309000000000</v>
      </c>
      <c r="G111" s="4" t="str">
        <f>HYPERLINK("http://141.218.60.56/~jnz1568/getInfo.php?workbook=14_06.xlsx&amp;sheet=A0&amp;row=111&amp;col=7&amp;number=0&amp;sourceID=14","0")</f>
        <v>0</v>
      </c>
    </row>
    <row r="112" spans="1:7">
      <c r="A112" s="3">
        <v>14</v>
      </c>
      <c r="B112" s="3">
        <v>6</v>
      </c>
      <c r="C112" s="3">
        <v>39</v>
      </c>
      <c r="D112" s="3">
        <v>4</v>
      </c>
      <c r="E112" s="3">
        <v>56.973</v>
      </c>
      <c r="F112" s="4" t="str">
        <f>HYPERLINK("http://141.218.60.56/~jnz1568/getInfo.php?workbook=14_06.xlsx&amp;sheet=A0&amp;row=112&amp;col=6&amp;number=326000000&amp;sourceID=14","326000000")</f>
        <v>326000000</v>
      </c>
      <c r="G112" s="4" t="str">
        <f>HYPERLINK("http://141.218.60.56/~jnz1568/getInfo.php?workbook=14_06.xlsx&amp;sheet=A0&amp;row=112&amp;col=7&amp;number=0&amp;sourceID=14","0")</f>
        <v>0</v>
      </c>
    </row>
    <row r="113" spans="1:7">
      <c r="A113" s="3">
        <v>14</v>
      </c>
      <c r="B113" s="3">
        <v>6</v>
      </c>
      <c r="C113" s="3">
        <v>40</v>
      </c>
      <c r="D113" s="3">
        <v>4</v>
      </c>
      <c r="E113" s="3">
        <v>56.944</v>
      </c>
      <c r="F113" s="4" t="str">
        <f>HYPERLINK("http://141.218.60.56/~jnz1568/getInfo.php?workbook=14_06.xlsx&amp;sheet=A0&amp;row=113&amp;col=6&amp;number=3140000000&amp;sourceID=14","3140000000")</f>
        <v>3140000000</v>
      </c>
      <c r="G113" s="4" t="str">
        <f>HYPERLINK("http://141.218.60.56/~jnz1568/getInfo.php?workbook=14_06.xlsx&amp;sheet=A0&amp;row=113&amp;col=7&amp;number=0&amp;sourceID=14","0")</f>
        <v>0</v>
      </c>
    </row>
    <row r="114" spans="1:7">
      <c r="A114" s="3">
        <v>14</v>
      </c>
      <c r="B114" s="3">
        <v>6</v>
      </c>
      <c r="C114" s="3">
        <v>41</v>
      </c>
      <c r="D114" s="3">
        <v>4</v>
      </c>
      <c r="E114" s="3">
        <v>56.867</v>
      </c>
      <c r="F114" s="4" t="str">
        <f>HYPERLINK("http://141.218.60.56/~jnz1568/getInfo.php?workbook=14_06.xlsx&amp;sheet=A0&amp;row=114&amp;col=6&amp;number=7340000&amp;sourceID=14","7340000")</f>
        <v>7340000</v>
      </c>
      <c r="G114" s="4" t="str">
        <f>HYPERLINK("http://141.218.60.56/~jnz1568/getInfo.php?workbook=14_06.xlsx&amp;sheet=A0&amp;row=114&amp;col=7&amp;number=0&amp;sourceID=14","0")</f>
        <v>0</v>
      </c>
    </row>
    <row r="115" spans="1:7">
      <c r="A115" s="3">
        <v>14</v>
      </c>
      <c r="B115" s="3">
        <v>6</v>
      </c>
      <c r="C115" s="3">
        <v>42</v>
      </c>
      <c r="D115" s="3">
        <v>4</v>
      </c>
      <c r="E115" s="3">
        <v>56.73</v>
      </c>
      <c r="F115" s="4" t="str">
        <f>HYPERLINK("http://141.218.60.56/~jnz1568/getInfo.php?workbook=14_06.xlsx&amp;sheet=A0&amp;row=115&amp;col=6&amp;number=9130000000&amp;sourceID=14","9130000000")</f>
        <v>9130000000</v>
      </c>
      <c r="G115" s="4" t="str">
        <f>HYPERLINK("http://141.218.60.56/~jnz1568/getInfo.php?workbook=14_06.xlsx&amp;sheet=A0&amp;row=115&amp;col=7&amp;number=0&amp;sourceID=14","0")</f>
        <v>0</v>
      </c>
    </row>
    <row r="116" spans="1:7">
      <c r="A116" s="3">
        <v>14</v>
      </c>
      <c r="B116" s="3">
        <v>6</v>
      </c>
      <c r="C116" s="3">
        <v>43</v>
      </c>
      <c r="D116" s="3">
        <v>4</v>
      </c>
      <c r="E116" s="3">
        <v>56.69</v>
      </c>
      <c r="F116" s="4" t="str">
        <f>HYPERLINK("http://141.218.60.56/~jnz1568/getInfo.php?workbook=14_06.xlsx&amp;sheet=A0&amp;row=116&amp;col=6&amp;number=760000000&amp;sourceID=14","760000000")</f>
        <v>760000000</v>
      </c>
      <c r="G116" s="4" t="str">
        <f>HYPERLINK("http://141.218.60.56/~jnz1568/getInfo.php?workbook=14_06.xlsx&amp;sheet=A0&amp;row=116&amp;col=7&amp;number=0&amp;sourceID=14","0")</f>
        <v>0</v>
      </c>
    </row>
    <row r="117" spans="1:7">
      <c r="A117" s="3">
        <v>14</v>
      </c>
      <c r="B117" s="3">
        <v>6</v>
      </c>
      <c r="C117" s="3">
        <v>45</v>
      </c>
      <c r="D117" s="3">
        <v>4</v>
      </c>
      <c r="E117" s="3">
        <v>56.003</v>
      </c>
      <c r="F117" s="4" t="str">
        <f>HYPERLINK("http://141.218.60.56/~jnz1568/getInfo.php?workbook=14_06.xlsx&amp;sheet=A0&amp;row=117&amp;col=6&amp;number=25800000000&amp;sourceID=14","25800000000")</f>
        <v>25800000000</v>
      </c>
      <c r="G117" s="4" t="str">
        <f>HYPERLINK("http://141.218.60.56/~jnz1568/getInfo.php?workbook=14_06.xlsx&amp;sheet=A0&amp;row=117&amp;col=7&amp;number=0&amp;sourceID=14","0")</f>
        <v>0</v>
      </c>
    </row>
    <row r="118" spans="1:7">
      <c r="A118" s="3">
        <v>14</v>
      </c>
      <c r="B118" s="3">
        <v>6</v>
      </c>
      <c r="C118" s="3">
        <v>46</v>
      </c>
      <c r="D118" s="3">
        <v>4</v>
      </c>
      <c r="E118" s="3">
        <v>56.027</v>
      </c>
      <c r="F118" s="4" t="str">
        <f>HYPERLINK("http://141.218.60.56/~jnz1568/getInfo.php?workbook=14_06.xlsx&amp;sheet=A0&amp;row=118&amp;col=6&amp;number=1420000000000&amp;sourceID=14","1420000000000")</f>
        <v>1420000000000</v>
      </c>
      <c r="G118" s="4" t="str">
        <f>HYPERLINK("http://141.218.60.56/~jnz1568/getInfo.php?workbook=14_06.xlsx&amp;sheet=A0&amp;row=118&amp;col=7&amp;number=0&amp;sourceID=14","0")</f>
        <v>0</v>
      </c>
    </row>
    <row r="119" spans="1:7">
      <c r="A119" s="3">
        <v>14</v>
      </c>
      <c r="B119" s="3">
        <v>6</v>
      </c>
      <c r="C119" s="3">
        <v>8</v>
      </c>
      <c r="D119" s="3">
        <v>5</v>
      </c>
      <c r="E119" s="3">
        <v>541.572</v>
      </c>
      <c r="F119" s="4" t="str">
        <f>HYPERLINK("http://141.218.60.56/~jnz1568/getInfo.php?workbook=14_06.xlsx&amp;sheet=A0&amp;row=119&amp;col=6&amp;number=608000&amp;sourceID=14","608000")</f>
        <v>608000</v>
      </c>
      <c r="G119" s="4" t="str">
        <f>HYPERLINK("http://141.218.60.56/~jnz1568/getInfo.php?workbook=14_06.xlsx&amp;sheet=A0&amp;row=119&amp;col=7&amp;number=0&amp;sourceID=14","0")</f>
        <v>0</v>
      </c>
    </row>
    <row r="120" spans="1:7">
      <c r="A120" s="3">
        <v>14</v>
      </c>
      <c r="B120" s="3">
        <v>6</v>
      </c>
      <c r="C120" s="3">
        <v>11</v>
      </c>
      <c r="D120" s="3">
        <v>5</v>
      </c>
      <c r="E120" s="3">
        <v>423.333</v>
      </c>
      <c r="F120" s="4" t="str">
        <f>HYPERLINK("http://141.218.60.56/~jnz1568/getInfo.php?workbook=14_06.xlsx&amp;sheet=A0&amp;row=120&amp;col=6&amp;number=2760000&amp;sourceID=14","2760000")</f>
        <v>2760000</v>
      </c>
      <c r="G120" s="4" t="str">
        <f>HYPERLINK("http://141.218.60.56/~jnz1568/getInfo.php?workbook=14_06.xlsx&amp;sheet=A0&amp;row=120&amp;col=7&amp;number=0&amp;sourceID=14","0")</f>
        <v>0</v>
      </c>
    </row>
    <row r="121" spans="1:7">
      <c r="A121" s="3">
        <v>14</v>
      </c>
      <c r="B121" s="3">
        <v>6</v>
      </c>
      <c r="C121" s="3">
        <v>14</v>
      </c>
      <c r="D121" s="3">
        <v>5</v>
      </c>
      <c r="E121" s="3">
        <v>294.856</v>
      </c>
      <c r="F121" s="4" t="str">
        <f>HYPERLINK("http://141.218.60.56/~jnz1568/getInfo.php?workbook=14_06.xlsx&amp;sheet=A0&amp;row=121&amp;col=6&amp;number=7270000&amp;sourceID=14","7270000")</f>
        <v>7270000</v>
      </c>
      <c r="G121" s="4" t="str">
        <f>HYPERLINK("http://141.218.60.56/~jnz1568/getInfo.php?workbook=14_06.xlsx&amp;sheet=A0&amp;row=121&amp;col=7&amp;number=0&amp;sourceID=14","0")</f>
        <v>0</v>
      </c>
    </row>
    <row r="122" spans="1:7">
      <c r="A122" s="3">
        <v>14</v>
      </c>
      <c r="B122" s="3">
        <v>6</v>
      </c>
      <c r="C122" s="3">
        <v>15</v>
      </c>
      <c r="D122" s="3">
        <v>5</v>
      </c>
      <c r="E122" s="3">
        <v>259.766</v>
      </c>
      <c r="F122" s="4" t="str">
        <f>HYPERLINK("http://141.218.60.56/~jnz1568/getInfo.php?workbook=14_06.xlsx&amp;sheet=A0&amp;row=122&amp;col=6&amp;number=6520000000&amp;sourceID=14","6520000000")</f>
        <v>6520000000</v>
      </c>
      <c r="G122" s="4" t="str">
        <f>HYPERLINK("http://141.218.60.56/~jnz1568/getInfo.php?workbook=14_06.xlsx&amp;sheet=A0&amp;row=122&amp;col=7&amp;number=0&amp;sourceID=14","0")</f>
        <v>0</v>
      </c>
    </row>
    <row r="123" spans="1:7">
      <c r="A123" s="3">
        <v>14</v>
      </c>
      <c r="B123" s="3">
        <v>6</v>
      </c>
      <c r="C123" s="3">
        <v>22</v>
      </c>
      <c r="D123" s="3">
        <v>5</v>
      </c>
      <c r="E123" s="3">
        <v>65.981</v>
      </c>
      <c r="F123" s="4" t="str">
        <f>HYPERLINK("http://141.218.60.56/~jnz1568/getInfo.php?workbook=14_06.xlsx&amp;sheet=A0&amp;row=123&amp;col=6&amp;number=484000000&amp;sourceID=14","484000000")</f>
        <v>484000000</v>
      </c>
      <c r="G123" s="4" t="str">
        <f>HYPERLINK("http://141.218.60.56/~jnz1568/getInfo.php?workbook=14_06.xlsx&amp;sheet=A0&amp;row=123&amp;col=7&amp;number=0&amp;sourceID=14","0")</f>
        <v>0</v>
      </c>
    </row>
    <row r="124" spans="1:7">
      <c r="A124" s="3">
        <v>14</v>
      </c>
      <c r="B124" s="3">
        <v>6</v>
      </c>
      <c r="C124" s="3">
        <v>24</v>
      </c>
      <c r="D124" s="3">
        <v>5</v>
      </c>
      <c r="E124" s="3">
        <v>65.229</v>
      </c>
      <c r="F124" s="4" t="str">
        <f>HYPERLINK("http://141.218.60.56/~jnz1568/getInfo.php?workbook=14_06.xlsx&amp;sheet=A0&amp;row=124&amp;col=6&amp;number=35200000000&amp;sourceID=14","35200000000")</f>
        <v>35200000000</v>
      </c>
      <c r="G124" s="4" t="str">
        <f>HYPERLINK("http://141.218.60.56/~jnz1568/getInfo.php?workbook=14_06.xlsx&amp;sheet=A0&amp;row=124&amp;col=7&amp;number=0&amp;sourceID=14","0")</f>
        <v>0</v>
      </c>
    </row>
    <row r="125" spans="1:7">
      <c r="A125" s="3">
        <v>14</v>
      </c>
      <c r="B125" s="3">
        <v>6</v>
      </c>
      <c r="C125" s="3">
        <v>32</v>
      </c>
      <c r="D125" s="3">
        <v>5</v>
      </c>
      <c r="E125" s="3">
        <v>-60.528</v>
      </c>
      <c r="F125" s="4" t="str">
        <f>HYPERLINK("http://141.218.60.56/~jnz1568/getInfo.php?workbook=14_06.xlsx&amp;sheet=A0&amp;row=125&amp;col=6&amp;number=69600&amp;sourceID=14","69600")</f>
        <v>69600</v>
      </c>
      <c r="G125" s="4" t="str">
        <f>HYPERLINK("http://141.218.60.56/~jnz1568/getInfo.php?workbook=14_06.xlsx&amp;sheet=A0&amp;row=125&amp;col=7&amp;number=0&amp;sourceID=14","0")</f>
        <v>0</v>
      </c>
    </row>
    <row r="126" spans="1:7">
      <c r="A126" s="3">
        <v>14</v>
      </c>
      <c r="B126" s="3">
        <v>6</v>
      </c>
      <c r="C126" s="3">
        <v>33</v>
      </c>
      <c r="D126" s="3">
        <v>5</v>
      </c>
      <c r="E126" s="3">
        <v>-59.912</v>
      </c>
      <c r="F126" s="4" t="str">
        <f>HYPERLINK("http://141.218.60.56/~jnz1568/getInfo.php?workbook=14_06.xlsx&amp;sheet=A0&amp;row=126&amp;col=6&amp;number=11300000&amp;sourceID=14","11300000")</f>
        <v>11300000</v>
      </c>
      <c r="G126" s="4" t="str">
        <f>HYPERLINK("http://141.218.60.56/~jnz1568/getInfo.php?workbook=14_06.xlsx&amp;sheet=A0&amp;row=126&amp;col=7&amp;number=0&amp;sourceID=14","0")</f>
        <v>0</v>
      </c>
    </row>
    <row r="127" spans="1:7">
      <c r="A127" s="3">
        <v>14</v>
      </c>
      <c r="B127" s="3">
        <v>6</v>
      </c>
      <c r="C127" s="3">
        <v>39</v>
      </c>
      <c r="D127" s="3">
        <v>5</v>
      </c>
      <c r="E127" s="3">
        <v>58.811</v>
      </c>
      <c r="F127" s="4" t="str">
        <f>HYPERLINK("http://141.218.60.56/~jnz1568/getInfo.php?workbook=14_06.xlsx&amp;sheet=A0&amp;row=127&amp;col=6&amp;number=1150000000&amp;sourceID=14","1150000000")</f>
        <v>1150000000</v>
      </c>
      <c r="G127" s="4" t="str">
        <f>HYPERLINK("http://141.218.60.56/~jnz1568/getInfo.php?workbook=14_06.xlsx&amp;sheet=A0&amp;row=127&amp;col=7&amp;number=0&amp;sourceID=14","0")</f>
        <v>0</v>
      </c>
    </row>
    <row r="128" spans="1:7">
      <c r="A128" s="3">
        <v>14</v>
      </c>
      <c r="B128" s="3">
        <v>6</v>
      </c>
      <c r="C128" s="3">
        <v>43</v>
      </c>
      <c r="D128" s="3">
        <v>5</v>
      </c>
      <c r="E128" s="3">
        <v>58.51</v>
      </c>
      <c r="F128" s="4" t="str">
        <f>HYPERLINK("http://141.218.60.56/~jnz1568/getInfo.php?workbook=14_06.xlsx&amp;sheet=A0&amp;row=128&amp;col=6&amp;number=366000000&amp;sourceID=14","366000000")</f>
        <v>366000000</v>
      </c>
      <c r="G128" s="4" t="str">
        <f>HYPERLINK("http://141.218.60.56/~jnz1568/getInfo.php?workbook=14_06.xlsx&amp;sheet=A0&amp;row=128&amp;col=7&amp;number=0&amp;sourceID=14","0")</f>
        <v>0</v>
      </c>
    </row>
    <row r="129" spans="1:7">
      <c r="A129" s="3">
        <v>14</v>
      </c>
      <c r="B129" s="3">
        <v>6</v>
      </c>
      <c r="C129" s="3">
        <v>45</v>
      </c>
      <c r="D129" s="3">
        <v>5</v>
      </c>
      <c r="E129" s="3">
        <v>57.778</v>
      </c>
      <c r="F129" s="4" t="str">
        <f>HYPERLINK("http://141.218.60.56/~jnz1568/getInfo.php?workbook=14_06.xlsx&amp;sheet=A0&amp;row=129&amp;col=6&amp;number=771000000000&amp;sourceID=14","771000000000")</f>
        <v>771000000000</v>
      </c>
      <c r="G129" s="4" t="str">
        <f>HYPERLINK("http://141.218.60.56/~jnz1568/getInfo.php?workbook=14_06.xlsx&amp;sheet=A0&amp;row=129&amp;col=7&amp;number=0&amp;sourceID=14","0")</f>
        <v>0</v>
      </c>
    </row>
    <row r="130" spans="1:7">
      <c r="A130" s="3">
        <v>14</v>
      </c>
      <c r="B130" s="3">
        <v>6</v>
      </c>
      <c r="C130" s="3">
        <v>16</v>
      </c>
      <c r="D130" s="3">
        <v>6</v>
      </c>
      <c r="E130" s="3">
        <v>190.7</v>
      </c>
      <c r="F130" s="4" t="str">
        <f>HYPERLINK("http://141.218.60.56/~jnz1568/getInfo.php?workbook=14_06.xlsx&amp;sheet=A0&amp;row=130&amp;col=6&amp;number=6680000&amp;sourceID=14","6680000")</f>
        <v>6680000</v>
      </c>
      <c r="G130" s="4" t="str">
        <f>HYPERLINK("http://141.218.60.56/~jnz1568/getInfo.php?workbook=14_06.xlsx&amp;sheet=A0&amp;row=130&amp;col=7&amp;number=0&amp;sourceID=14","0")</f>
        <v>0</v>
      </c>
    </row>
    <row r="131" spans="1:7">
      <c r="A131" s="3">
        <v>14</v>
      </c>
      <c r="B131" s="3">
        <v>6</v>
      </c>
      <c r="C131" s="3">
        <v>17</v>
      </c>
      <c r="D131" s="3">
        <v>6</v>
      </c>
      <c r="E131" s="3">
        <v>189.058</v>
      </c>
      <c r="F131" s="4" t="str">
        <f>HYPERLINK("http://141.218.60.56/~jnz1568/getInfo.php?workbook=14_06.xlsx&amp;sheet=A0&amp;row=131&amp;col=6&amp;number=3290000&amp;sourceID=14","3290000")</f>
        <v>3290000</v>
      </c>
      <c r="G131" s="4" t="str">
        <f>HYPERLINK("http://141.218.60.56/~jnz1568/getInfo.php?workbook=14_06.xlsx&amp;sheet=A0&amp;row=131&amp;col=7&amp;number=0&amp;sourceID=14","0")</f>
        <v>0</v>
      </c>
    </row>
    <row r="132" spans="1:7">
      <c r="A132" s="3">
        <v>14</v>
      </c>
      <c r="B132" s="3">
        <v>6</v>
      </c>
      <c r="C132" s="3">
        <v>25</v>
      </c>
      <c r="D132" s="3">
        <v>6</v>
      </c>
      <c r="E132" s="3">
        <v>-63.28</v>
      </c>
      <c r="F132" s="4" t="str">
        <f>HYPERLINK("http://141.218.60.56/~jnz1568/getInfo.php?workbook=14_06.xlsx&amp;sheet=A0&amp;row=132&amp;col=6&amp;number=8900&amp;sourceID=14","8900")</f>
        <v>8900</v>
      </c>
      <c r="G132" s="4" t="str">
        <f>HYPERLINK("http://141.218.60.56/~jnz1568/getInfo.php?workbook=14_06.xlsx&amp;sheet=A0&amp;row=132&amp;col=7&amp;number=0&amp;sourceID=14","0")</f>
        <v>0</v>
      </c>
    </row>
    <row r="133" spans="1:7">
      <c r="A133" s="3">
        <v>14</v>
      </c>
      <c r="B133" s="3">
        <v>6</v>
      </c>
      <c r="C133" s="3">
        <v>26</v>
      </c>
      <c r="D133" s="3">
        <v>6</v>
      </c>
      <c r="E133" s="3">
        <v>-63.047</v>
      </c>
      <c r="F133" s="4" t="str">
        <f>HYPERLINK("http://141.218.60.56/~jnz1568/getInfo.php?workbook=14_06.xlsx&amp;sheet=A0&amp;row=133&amp;col=6&amp;number=59800&amp;sourceID=14","59800")</f>
        <v>59800</v>
      </c>
      <c r="G133" s="4" t="str">
        <f>HYPERLINK("http://141.218.60.56/~jnz1568/getInfo.php?workbook=14_06.xlsx&amp;sheet=A0&amp;row=133&amp;col=7&amp;number=0&amp;sourceID=14","0")</f>
        <v>0</v>
      </c>
    </row>
    <row r="134" spans="1:7">
      <c r="A134" s="3">
        <v>14</v>
      </c>
      <c r="B134" s="3">
        <v>6</v>
      </c>
      <c r="C134" s="3">
        <v>27</v>
      </c>
      <c r="D134" s="3">
        <v>6</v>
      </c>
      <c r="E134" s="3">
        <v>-62.995</v>
      </c>
      <c r="F134" s="4" t="str">
        <f>HYPERLINK("http://141.218.60.56/~jnz1568/getInfo.php?workbook=14_06.xlsx&amp;sheet=A0&amp;row=134&amp;col=6&amp;number=149000&amp;sourceID=14","149000")</f>
        <v>149000</v>
      </c>
      <c r="G134" s="4" t="str">
        <f>HYPERLINK("http://141.218.60.56/~jnz1568/getInfo.php?workbook=14_06.xlsx&amp;sheet=A0&amp;row=134&amp;col=7&amp;number=0&amp;sourceID=14","0")</f>
        <v>0</v>
      </c>
    </row>
    <row r="135" spans="1:7">
      <c r="A135" s="3">
        <v>14</v>
      </c>
      <c r="B135" s="3">
        <v>6</v>
      </c>
      <c r="C135" s="3">
        <v>28</v>
      </c>
      <c r="D135" s="3">
        <v>6</v>
      </c>
      <c r="E135" s="3">
        <v>-62.824</v>
      </c>
      <c r="F135" s="4" t="str">
        <f>HYPERLINK("http://141.218.60.56/~jnz1568/getInfo.php?workbook=14_06.xlsx&amp;sheet=A0&amp;row=135&amp;col=6&amp;number=562000&amp;sourceID=14","562000")</f>
        <v>562000</v>
      </c>
      <c r="G135" s="4" t="str">
        <f>HYPERLINK("http://141.218.60.56/~jnz1568/getInfo.php?workbook=14_06.xlsx&amp;sheet=A0&amp;row=135&amp;col=7&amp;number=0&amp;sourceID=14","0")</f>
        <v>0</v>
      </c>
    </row>
    <row r="136" spans="1:7">
      <c r="A136" s="3">
        <v>14</v>
      </c>
      <c r="B136" s="3">
        <v>6</v>
      </c>
      <c r="C136" s="3">
        <v>29</v>
      </c>
      <c r="D136" s="3">
        <v>6</v>
      </c>
      <c r="E136" s="3">
        <v>-62.515</v>
      </c>
      <c r="F136" s="4" t="str">
        <f>HYPERLINK("http://141.218.60.56/~jnz1568/getInfo.php?workbook=14_06.xlsx&amp;sheet=A0&amp;row=136&amp;col=6&amp;number=1850000&amp;sourceID=14","1850000")</f>
        <v>1850000</v>
      </c>
      <c r="G136" s="4" t="str">
        <f>HYPERLINK("http://141.218.60.56/~jnz1568/getInfo.php?workbook=14_06.xlsx&amp;sheet=A0&amp;row=136&amp;col=7&amp;number=0&amp;sourceID=14","0")</f>
        <v>0</v>
      </c>
    </row>
    <row r="137" spans="1:7">
      <c r="A137" s="3">
        <v>14</v>
      </c>
      <c r="B137" s="3">
        <v>6</v>
      </c>
      <c r="C137" s="3">
        <v>31</v>
      </c>
      <c r="D137" s="3">
        <v>6</v>
      </c>
      <c r="E137" s="3">
        <v>-61.903</v>
      </c>
      <c r="F137" s="4" t="str">
        <f>HYPERLINK("http://141.218.60.56/~jnz1568/getInfo.php?workbook=14_06.xlsx&amp;sheet=A0&amp;row=137&amp;col=6&amp;number=112000&amp;sourceID=14","112000")</f>
        <v>112000</v>
      </c>
      <c r="G137" s="4" t="str">
        <f>HYPERLINK("http://141.218.60.56/~jnz1568/getInfo.php?workbook=14_06.xlsx&amp;sheet=A0&amp;row=137&amp;col=7&amp;number=0&amp;sourceID=14","0")</f>
        <v>0</v>
      </c>
    </row>
    <row r="138" spans="1:7">
      <c r="A138" s="3">
        <v>14</v>
      </c>
      <c r="B138" s="3">
        <v>6</v>
      </c>
      <c r="C138" s="3">
        <v>32</v>
      </c>
      <c r="D138" s="3">
        <v>6</v>
      </c>
      <c r="E138" s="3">
        <v>-61.816</v>
      </c>
      <c r="F138" s="4" t="str">
        <f>HYPERLINK("http://141.218.60.56/~jnz1568/getInfo.php?workbook=14_06.xlsx&amp;sheet=A0&amp;row=138&amp;col=6&amp;number=72000&amp;sourceID=14","72000")</f>
        <v>72000</v>
      </c>
      <c r="G138" s="4" t="str">
        <f>HYPERLINK("http://141.218.60.56/~jnz1568/getInfo.php?workbook=14_06.xlsx&amp;sheet=A0&amp;row=138&amp;col=7&amp;number=0&amp;sourceID=14","0")</f>
        <v>0</v>
      </c>
    </row>
    <row r="139" spans="1:7">
      <c r="A139" s="3">
        <v>14</v>
      </c>
      <c r="B139" s="3">
        <v>6</v>
      </c>
      <c r="C139" s="3">
        <v>16</v>
      </c>
      <c r="D139" s="3">
        <v>7</v>
      </c>
      <c r="E139" s="3">
        <v>261.473</v>
      </c>
      <c r="F139" s="4" t="str">
        <f>HYPERLINK("http://141.218.60.56/~jnz1568/getInfo.php?workbook=14_06.xlsx&amp;sheet=A0&amp;row=139&amp;col=6&amp;number=3280000000&amp;sourceID=14","3280000000")</f>
        <v>3280000000</v>
      </c>
      <c r="G139" s="4" t="str">
        <f>HYPERLINK("http://141.218.60.56/~jnz1568/getInfo.php?workbook=14_06.xlsx&amp;sheet=A0&amp;row=139&amp;col=7&amp;number=0&amp;sourceID=14","0")</f>
        <v>0</v>
      </c>
    </row>
    <row r="140" spans="1:7">
      <c r="A140" s="3">
        <v>14</v>
      </c>
      <c r="B140" s="3">
        <v>6</v>
      </c>
      <c r="C140" s="3">
        <v>17</v>
      </c>
      <c r="D140" s="3">
        <v>7</v>
      </c>
      <c r="E140" s="3">
        <v>258.397</v>
      </c>
      <c r="F140" s="4" t="str">
        <f>HYPERLINK("http://141.218.60.56/~jnz1568/getInfo.php?workbook=14_06.xlsx&amp;sheet=A0&amp;row=140&amp;col=6&amp;number=13000000000&amp;sourceID=14","13000000000")</f>
        <v>13000000000</v>
      </c>
      <c r="G140" s="4" t="str">
        <f>HYPERLINK("http://141.218.60.56/~jnz1568/getInfo.php?workbook=14_06.xlsx&amp;sheet=A0&amp;row=140&amp;col=7&amp;number=0&amp;sourceID=14","0")</f>
        <v>0</v>
      </c>
    </row>
    <row r="141" spans="1:7">
      <c r="A141" s="3">
        <v>14</v>
      </c>
      <c r="B141" s="3">
        <v>6</v>
      </c>
      <c r="C141" s="3">
        <v>19</v>
      </c>
      <c r="D141" s="3">
        <v>7</v>
      </c>
      <c r="E141" s="3">
        <v>234.077</v>
      </c>
      <c r="F141" s="4" t="str">
        <f>HYPERLINK("http://141.218.60.56/~jnz1568/getInfo.php?workbook=14_06.xlsx&amp;sheet=A0&amp;row=141&amp;col=6&amp;number=13300000&amp;sourceID=14","13300000")</f>
        <v>13300000</v>
      </c>
      <c r="G141" s="4" t="str">
        <f>HYPERLINK("http://141.218.60.56/~jnz1568/getInfo.php?workbook=14_06.xlsx&amp;sheet=A0&amp;row=141&amp;col=7&amp;number=0&amp;sourceID=14","0")</f>
        <v>0</v>
      </c>
    </row>
    <row r="142" spans="1:7">
      <c r="A142" s="3">
        <v>14</v>
      </c>
      <c r="B142" s="3">
        <v>6</v>
      </c>
      <c r="C142" s="3">
        <v>21</v>
      </c>
      <c r="D142" s="3">
        <v>7</v>
      </c>
      <c r="E142" s="3">
        <v>-73.964</v>
      </c>
      <c r="F142" s="4" t="str">
        <f>HYPERLINK("http://141.218.60.56/~jnz1568/getInfo.php?workbook=14_06.xlsx&amp;sheet=A0&amp;row=142&amp;col=6&amp;number=648000&amp;sourceID=14","648000")</f>
        <v>648000</v>
      </c>
      <c r="G142" s="4" t="str">
        <f>HYPERLINK("http://141.218.60.56/~jnz1568/getInfo.php?workbook=14_06.xlsx&amp;sheet=A0&amp;row=142&amp;col=7&amp;number=0&amp;sourceID=14","0")</f>
        <v>0</v>
      </c>
    </row>
    <row r="143" spans="1:7">
      <c r="A143" s="3">
        <v>14</v>
      </c>
      <c r="B143" s="3">
        <v>6</v>
      </c>
      <c r="C143" s="3">
        <v>23</v>
      </c>
      <c r="D143" s="3">
        <v>7</v>
      </c>
      <c r="E143" s="3">
        <v>74.839</v>
      </c>
      <c r="F143" s="4" t="str">
        <f>HYPERLINK("http://141.218.60.56/~jnz1568/getInfo.php?workbook=14_06.xlsx&amp;sheet=A0&amp;row=143&amp;col=6&amp;number=197000&amp;sourceID=14","197000")</f>
        <v>197000</v>
      </c>
      <c r="G143" s="4" t="str">
        <f>HYPERLINK("http://141.218.60.56/~jnz1568/getInfo.php?workbook=14_06.xlsx&amp;sheet=A0&amp;row=143&amp;col=7&amp;number=0&amp;sourceID=14","0")</f>
        <v>0</v>
      </c>
    </row>
    <row r="144" spans="1:7">
      <c r="A144" s="3">
        <v>14</v>
      </c>
      <c r="B144" s="3">
        <v>6</v>
      </c>
      <c r="C144" s="3">
        <v>25</v>
      </c>
      <c r="D144" s="3">
        <v>7</v>
      </c>
      <c r="E144" s="3">
        <v>-70.141</v>
      </c>
      <c r="F144" s="4" t="str">
        <f>HYPERLINK("http://141.218.60.56/~jnz1568/getInfo.php?workbook=14_06.xlsx&amp;sheet=A0&amp;row=144&amp;col=6&amp;number=25900000&amp;sourceID=14","25900000")</f>
        <v>25900000</v>
      </c>
      <c r="G144" s="4" t="str">
        <f>HYPERLINK("http://141.218.60.56/~jnz1568/getInfo.php?workbook=14_06.xlsx&amp;sheet=A0&amp;row=144&amp;col=7&amp;number=0&amp;sourceID=14","0")</f>
        <v>0</v>
      </c>
    </row>
    <row r="145" spans="1:7">
      <c r="A145" s="3">
        <v>14</v>
      </c>
      <c r="B145" s="3">
        <v>6</v>
      </c>
      <c r="C145" s="3">
        <v>26</v>
      </c>
      <c r="D145" s="3">
        <v>7</v>
      </c>
      <c r="E145" s="3">
        <v>-69.855</v>
      </c>
      <c r="F145" s="4" t="str">
        <f>HYPERLINK("http://141.218.60.56/~jnz1568/getInfo.php?workbook=14_06.xlsx&amp;sheet=A0&amp;row=145&amp;col=6&amp;number=261000000&amp;sourceID=14","261000000")</f>
        <v>261000000</v>
      </c>
      <c r="G145" s="4" t="str">
        <f>HYPERLINK("http://141.218.60.56/~jnz1568/getInfo.php?workbook=14_06.xlsx&amp;sheet=A0&amp;row=145&amp;col=7&amp;number=0&amp;sourceID=14","0")</f>
        <v>0</v>
      </c>
    </row>
    <row r="146" spans="1:7">
      <c r="A146" s="3">
        <v>14</v>
      </c>
      <c r="B146" s="3">
        <v>6</v>
      </c>
      <c r="C146" s="3">
        <v>27</v>
      </c>
      <c r="D146" s="3">
        <v>7</v>
      </c>
      <c r="E146" s="3">
        <v>-69.791</v>
      </c>
      <c r="F146" s="4" t="str">
        <f>HYPERLINK("http://141.218.60.56/~jnz1568/getInfo.php?workbook=14_06.xlsx&amp;sheet=A0&amp;row=146&amp;col=6&amp;number=537000000&amp;sourceID=14","537000000")</f>
        <v>537000000</v>
      </c>
      <c r="G146" s="4" t="str">
        <f>HYPERLINK("http://141.218.60.56/~jnz1568/getInfo.php?workbook=14_06.xlsx&amp;sheet=A0&amp;row=146&amp;col=7&amp;number=0&amp;sourceID=14","0")</f>
        <v>0</v>
      </c>
    </row>
    <row r="147" spans="1:7">
      <c r="A147" s="3">
        <v>14</v>
      </c>
      <c r="B147" s="3">
        <v>6</v>
      </c>
      <c r="C147" s="3">
        <v>28</v>
      </c>
      <c r="D147" s="3">
        <v>7</v>
      </c>
      <c r="E147" s="3">
        <v>-69.582</v>
      </c>
      <c r="F147" s="4" t="str">
        <f>HYPERLINK("http://141.218.60.56/~jnz1568/getInfo.php?workbook=14_06.xlsx&amp;sheet=A0&amp;row=147&amp;col=6&amp;number=46400000&amp;sourceID=14","46400000")</f>
        <v>46400000</v>
      </c>
      <c r="G147" s="4" t="str">
        <f>HYPERLINK("http://141.218.60.56/~jnz1568/getInfo.php?workbook=14_06.xlsx&amp;sheet=A0&amp;row=147&amp;col=7&amp;number=0&amp;sourceID=14","0")</f>
        <v>0</v>
      </c>
    </row>
    <row r="148" spans="1:7">
      <c r="A148" s="3">
        <v>14</v>
      </c>
      <c r="B148" s="3">
        <v>6</v>
      </c>
      <c r="C148" s="3">
        <v>29</v>
      </c>
      <c r="D148" s="3">
        <v>7</v>
      </c>
      <c r="E148" s="3">
        <v>-69.203</v>
      </c>
      <c r="F148" s="4" t="str">
        <f>HYPERLINK("http://141.218.60.56/~jnz1568/getInfo.php?workbook=14_06.xlsx&amp;sheet=A0&amp;row=148&amp;col=6&amp;number=88900000&amp;sourceID=14","88900000")</f>
        <v>88900000</v>
      </c>
      <c r="G148" s="4" t="str">
        <f>HYPERLINK("http://141.218.60.56/~jnz1568/getInfo.php?workbook=14_06.xlsx&amp;sheet=A0&amp;row=148&amp;col=7&amp;number=0&amp;sourceID=14","0")</f>
        <v>0</v>
      </c>
    </row>
    <row r="149" spans="1:7">
      <c r="A149" s="3">
        <v>14</v>
      </c>
      <c r="B149" s="3">
        <v>6</v>
      </c>
      <c r="C149" s="3">
        <v>31</v>
      </c>
      <c r="D149" s="3">
        <v>7</v>
      </c>
      <c r="E149" s="3">
        <v>-68.453</v>
      </c>
      <c r="F149" s="4" t="str">
        <f>HYPERLINK("http://141.218.60.56/~jnz1568/getInfo.php?workbook=14_06.xlsx&amp;sheet=A0&amp;row=149&amp;col=6&amp;number=1590000000&amp;sourceID=14","1590000000")</f>
        <v>1590000000</v>
      </c>
      <c r="G149" s="4" t="str">
        <f>HYPERLINK("http://141.218.60.56/~jnz1568/getInfo.php?workbook=14_06.xlsx&amp;sheet=A0&amp;row=149&amp;col=7&amp;number=0&amp;sourceID=14","0")</f>
        <v>0</v>
      </c>
    </row>
    <row r="150" spans="1:7">
      <c r="A150" s="3">
        <v>14</v>
      </c>
      <c r="B150" s="3">
        <v>6</v>
      </c>
      <c r="C150" s="3">
        <v>32</v>
      </c>
      <c r="D150" s="3">
        <v>7</v>
      </c>
      <c r="E150" s="3">
        <v>-68.347</v>
      </c>
      <c r="F150" s="4" t="str">
        <f>HYPERLINK("http://141.218.60.56/~jnz1568/getInfo.php?workbook=14_06.xlsx&amp;sheet=A0&amp;row=150&amp;col=6&amp;number=443000000&amp;sourceID=14","443000000")</f>
        <v>443000000</v>
      </c>
      <c r="G150" s="4" t="str">
        <f>HYPERLINK("http://141.218.60.56/~jnz1568/getInfo.php?workbook=14_06.xlsx&amp;sheet=A0&amp;row=150&amp;col=7&amp;number=0&amp;sourceID=14","0")</f>
        <v>0</v>
      </c>
    </row>
    <row r="151" spans="1:7">
      <c r="A151" s="3">
        <v>14</v>
      </c>
      <c r="B151" s="3">
        <v>6</v>
      </c>
      <c r="C151" s="3">
        <v>33</v>
      </c>
      <c r="D151" s="3">
        <v>7</v>
      </c>
      <c r="E151" s="3">
        <v>-67.562</v>
      </c>
      <c r="F151" s="4" t="str">
        <f>HYPERLINK("http://141.218.60.56/~jnz1568/getInfo.php?workbook=14_06.xlsx&amp;sheet=A0&amp;row=151&amp;col=6&amp;number=1950000&amp;sourceID=14","1950000")</f>
        <v>1950000</v>
      </c>
      <c r="G151" s="4" t="str">
        <f>HYPERLINK("http://141.218.60.56/~jnz1568/getInfo.php?workbook=14_06.xlsx&amp;sheet=A0&amp;row=151&amp;col=7&amp;number=0&amp;sourceID=14","0")</f>
        <v>0</v>
      </c>
    </row>
    <row r="152" spans="1:7">
      <c r="A152" s="3">
        <v>14</v>
      </c>
      <c r="B152" s="3">
        <v>6</v>
      </c>
      <c r="C152" s="3">
        <v>36</v>
      </c>
      <c r="D152" s="3">
        <v>7</v>
      </c>
      <c r="E152" s="3">
        <v>-65.752</v>
      </c>
      <c r="F152" s="4" t="str">
        <f>HYPERLINK("http://141.218.60.56/~jnz1568/getInfo.php?workbook=14_06.xlsx&amp;sheet=A0&amp;row=152&amp;col=6&amp;number=48800&amp;sourceID=14","48800")</f>
        <v>48800</v>
      </c>
      <c r="G152" s="4" t="str">
        <f>HYPERLINK("http://141.218.60.56/~jnz1568/getInfo.php?workbook=14_06.xlsx&amp;sheet=A0&amp;row=152&amp;col=7&amp;number=0&amp;sourceID=14","0")</f>
        <v>0</v>
      </c>
    </row>
    <row r="153" spans="1:7">
      <c r="A153" s="3">
        <v>14</v>
      </c>
      <c r="B153" s="3">
        <v>6</v>
      </c>
      <c r="C153" s="3">
        <v>38</v>
      </c>
      <c r="D153" s="3">
        <v>7</v>
      </c>
      <c r="E153" s="3">
        <v>-65.601</v>
      </c>
      <c r="F153" s="4" t="str">
        <f>HYPERLINK("http://141.218.60.56/~jnz1568/getInfo.php?workbook=14_06.xlsx&amp;sheet=A0&amp;row=153&amp;col=6&amp;number=7870&amp;sourceID=14","7870")</f>
        <v>7870</v>
      </c>
      <c r="G153" s="4" t="str">
        <f>HYPERLINK("http://141.218.60.56/~jnz1568/getInfo.php?workbook=14_06.xlsx&amp;sheet=A0&amp;row=153&amp;col=7&amp;number=0&amp;sourceID=14","0")</f>
        <v>0</v>
      </c>
    </row>
    <row r="154" spans="1:7">
      <c r="A154" s="3">
        <v>14</v>
      </c>
      <c r="B154" s="3">
        <v>6</v>
      </c>
      <c r="C154" s="3">
        <v>16</v>
      </c>
      <c r="D154" s="3">
        <v>8</v>
      </c>
      <c r="E154" s="3">
        <v>261.568</v>
      </c>
      <c r="F154" s="4" t="str">
        <f>HYPERLINK("http://141.218.60.56/~jnz1568/getInfo.php?workbook=14_06.xlsx&amp;sheet=A0&amp;row=154&amp;col=6&amp;number=255000000&amp;sourceID=14","255000000")</f>
        <v>255000000</v>
      </c>
      <c r="G154" s="4" t="str">
        <f>HYPERLINK("http://141.218.60.56/~jnz1568/getInfo.php?workbook=14_06.xlsx&amp;sheet=A0&amp;row=154&amp;col=7&amp;number=0&amp;sourceID=14","0")</f>
        <v>0</v>
      </c>
    </row>
    <row r="155" spans="1:7">
      <c r="A155" s="3">
        <v>14</v>
      </c>
      <c r="B155" s="3">
        <v>6</v>
      </c>
      <c r="C155" s="3">
        <v>17</v>
      </c>
      <c r="D155" s="3">
        <v>8</v>
      </c>
      <c r="E155" s="3">
        <v>258.491</v>
      </c>
      <c r="F155" s="4" t="str">
        <f>HYPERLINK("http://141.218.60.56/~jnz1568/getInfo.php?workbook=14_06.xlsx&amp;sheet=A0&amp;row=155&amp;col=6&amp;number=4960000000&amp;sourceID=14","4960000000")</f>
        <v>4960000000</v>
      </c>
      <c r="G155" s="4" t="str">
        <f>HYPERLINK("http://141.218.60.56/~jnz1568/getInfo.php?workbook=14_06.xlsx&amp;sheet=A0&amp;row=155&amp;col=7&amp;number=0&amp;sourceID=14","0")</f>
        <v>0</v>
      </c>
    </row>
    <row r="156" spans="1:7">
      <c r="A156" s="3">
        <v>14</v>
      </c>
      <c r="B156" s="3">
        <v>6</v>
      </c>
      <c r="C156" s="3">
        <v>18</v>
      </c>
      <c r="D156" s="3">
        <v>8</v>
      </c>
      <c r="E156" s="3">
        <v>257.305</v>
      </c>
      <c r="F156" s="4" t="str">
        <f>HYPERLINK("http://141.218.60.56/~jnz1568/getInfo.php?workbook=14_06.xlsx&amp;sheet=A0&amp;row=156&amp;col=6&amp;number=17600000000&amp;sourceID=14","17600000000")</f>
        <v>17600000000</v>
      </c>
      <c r="G156" s="4" t="str">
        <f>HYPERLINK("http://141.218.60.56/~jnz1568/getInfo.php?workbook=14_06.xlsx&amp;sheet=A0&amp;row=156&amp;col=7&amp;number=0&amp;sourceID=14","0")</f>
        <v>0</v>
      </c>
    </row>
    <row r="157" spans="1:7">
      <c r="A157" s="3">
        <v>14</v>
      </c>
      <c r="B157" s="3">
        <v>6</v>
      </c>
      <c r="C157" s="3">
        <v>19</v>
      </c>
      <c r="D157" s="3">
        <v>8</v>
      </c>
      <c r="E157" s="3">
        <v>234.154</v>
      </c>
      <c r="F157" s="4" t="str">
        <f>HYPERLINK("http://141.218.60.56/~jnz1568/getInfo.php?workbook=14_06.xlsx&amp;sheet=A0&amp;row=157&amp;col=6&amp;number=626000&amp;sourceID=14","626000")</f>
        <v>626000</v>
      </c>
      <c r="G157" s="4" t="str">
        <f>HYPERLINK("http://141.218.60.56/~jnz1568/getInfo.php?workbook=14_06.xlsx&amp;sheet=A0&amp;row=157&amp;col=7&amp;number=0&amp;sourceID=14","0")</f>
        <v>0</v>
      </c>
    </row>
    <row r="158" spans="1:7">
      <c r="A158" s="3">
        <v>14</v>
      </c>
      <c r="B158" s="3">
        <v>6</v>
      </c>
      <c r="C158" s="3">
        <v>20</v>
      </c>
      <c r="D158" s="3">
        <v>8</v>
      </c>
      <c r="E158" s="3">
        <v>189.654</v>
      </c>
      <c r="F158" s="4" t="str">
        <f>HYPERLINK("http://141.218.60.56/~jnz1568/getInfo.php?workbook=14_06.xlsx&amp;sheet=A0&amp;row=158&amp;col=6&amp;number=4070000&amp;sourceID=14","4070000")</f>
        <v>4070000</v>
      </c>
      <c r="G158" s="4" t="str">
        <f>HYPERLINK("http://141.218.60.56/~jnz1568/getInfo.php?workbook=14_06.xlsx&amp;sheet=A0&amp;row=158&amp;col=7&amp;number=0&amp;sourceID=14","0")</f>
        <v>0</v>
      </c>
    </row>
    <row r="159" spans="1:7">
      <c r="A159" s="3">
        <v>14</v>
      </c>
      <c r="B159" s="3">
        <v>6</v>
      </c>
      <c r="C159" s="3">
        <v>22</v>
      </c>
      <c r="D159" s="3">
        <v>8</v>
      </c>
      <c r="E159" s="3">
        <v>75.135</v>
      </c>
      <c r="F159" s="4" t="str">
        <f>HYPERLINK("http://141.218.60.56/~jnz1568/getInfo.php?workbook=14_06.xlsx&amp;sheet=A0&amp;row=159&amp;col=6&amp;number=277000&amp;sourceID=14","277000")</f>
        <v>277000</v>
      </c>
      <c r="G159" s="4" t="str">
        <f>HYPERLINK("http://141.218.60.56/~jnz1568/getInfo.php?workbook=14_06.xlsx&amp;sheet=A0&amp;row=159&amp;col=7&amp;number=0&amp;sourceID=14","0")</f>
        <v>0</v>
      </c>
    </row>
    <row r="160" spans="1:7">
      <c r="A160" s="3">
        <v>14</v>
      </c>
      <c r="B160" s="3">
        <v>6</v>
      </c>
      <c r="C160" s="3">
        <v>25</v>
      </c>
      <c r="D160" s="3">
        <v>8</v>
      </c>
      <c r="E160" s="3">
        <v>-70.143</v>
      </c>
      <c r="F160" s="4" t="str">
        <f>HYPERLINK("http://141.218.60.56/~jnz1568/getInfo.php?workbook=14_06.xlsx&amp;sheet=A0&amp;row=160&amp;col=6&amp;number=168000000&amp;sourceID=14","168000000")</f>
        <v>168000000</v>
      </c>
      <c r="G160" s="4" t="str">
        <f>HYPERLINK("http://141.218.60.56/~jnz1568/getInfo.php?workbook=14_06.xlsx&amp;sheet=A0&amp;row=160&amp;col=7&amp;number=0&amp;sourceID=14","0")</f>
        <v>0</v>
      </c>
    </row>
    <row r="161" spans="1:7">
      <c r="A161" s="3">
        <v>14</v>
      </c>
      <c r="B161" s="3">
        <v>6</v>
      </c>
      <c r="C161" s="3">
        <v>26</v>
      </c>
      <c r="D161" s="3">
        <v>8</v>
      </c>
      <c r="E161" s="3">
        <v>-69.858</v>
      </c>
      <c r="F161" s="4" t="str">
        <f>HYPERLINK("http://141.218.60.56/~jnz1568/getInfo.php?workbook=14_06.xlsx&amp;sheet=A0&amp;row=161&amp;col=6&amp;number=408000000&amp;sourceID=14","408000000")</f>
        <v>408000000</v>
      </c>
      <c r="G161" s="4" t="str">
        <f>HYPERLINK("http://141.218.60.56/~jnz1568/getInfo.php?workbook=14_06.xlsx&amp;sheet=A0&amp;row=161&amp;col=7&amp;number=0&amp;sourceID=14","0")</f>
        <v>0</v>
      </c>
    </row>
    <row r="162" spans="1:7">
      <c r="A162" s="3">
        <v>14</v>
      </c>
      <c r="B162" s="3">
        <v>6</v>
      </c>
      <c r="C162" s="3">
        <v>27</v>
      </c>
      <c r="D162" s="3">
        <v>8</v>
      </c>
      <c r="E162" s="3">
        <v>-69.793</v>
      </c>
      <c r="F162" s="4" t="str">
        <f>HYPERLINK("http://141.218.60.56/~jnz1568/getInfo.php?workbook=14_06.xlsx&amp;sheet=A0&amp;row=162&amp;col=6&amp;number=78600000&amp;sourceID=14","78600000")</f>
        <v>78600000</v>
      </c>
      <c r="G162" s="4" t="str">
        <f>HYPERLINK("http://141.218.60.56/~jnz1568/getInfo.php?workbook=14_06.xlsx&amp;sheet=A0&amp;row=162&amp;col=7&amp;number=0&amp;sourceID=14","0")</f>
        <v>0</v>
      </c>
    </row>
    <row r="163" spans="1:7">
      <c r="A163" s="3">
        <v>14</v>
      </c>
      <c r="B163" s="3">
        <v>6</v>
      </c>
      <c r="C163" s="3">
        <v>29</v>
      </c>
      <c r="D163" s="3">
        <v>8</v>
      </c>
      <c r="E163" s="3">
        <v>-69.205</v>
      </c>
      <c r="F163" s="4" t="str">
        <f>HYPERLINK("http://141.218.60.56/~jnz1568/getInfo.php?workbook=14_06.xlsx&amp;sheet=A0&amp;row=163&amp;col=6&amp;number=43600000&amp;sourceID=14","43600000")</f>
        <v>43600000</v>
      </c>
      <c r="G163" s="4" t="str">
        <f>HYPERLINK("http://141.218.60.56/~jnz1568/getInfo.php?workbook=14_06.xlsx&amp;sheet=A0&amp;row=163&amp;col=7&amp;number=0&amp;sourceID=14","0")</f>
        <v>0</v>
      </c>
    </row>
    <row r="164" spans="1:7">
      <c r="A164" s="3">
        <v>14</v>
      </c>
      <c r="B164" s="3">
        <v>6</v>
      </c>
      <c r="C164" s="3">
        <v>30</v>
      </c>
      <c r="D164" s="3">
        <v>8</v>
      </c>
      <c r="E164" s="3">
        <v>-68.548</v>
      </c>
      <c r="F164" s="4" t="str">
        <f>HYPERLINK("http://141.218.60.56/~jnz1568/getInfo.php?workbook=14_06.xlsx&amp;sheet=A0&amp;row=164&amp;col=6&amp;number=2240000000&amp;sourceID=14","2240000000")</f>
        <v>2240000000</v>
      </c>
      <c r="G164" s="4" t="str">
        <f>HYPERLINK("http://141.218.60.56/~jnz1568/getInfo.php?workbook=14_06.xlsx&amp;sheet=A0&amp;row=164&amp;col=7&amp;number=0&amp;sourceID=14","0")</f>
        <v>0</v>
      </c>
    </row>
    <row r="165" spans="1:7">
      <c r="A165" s="3">
        <v>14</v>
      </c>
      <c r="B165" s="3">
        <v>6</v>
      </c>
      <c r="C165" s="3">
        <v>31</v>
      </c>
      <c r="D165" s="3">
        <v>8</v>
      </c>
      <c r="E165" s="3">
        <v>-68.455</v>
      </c>
      <c r="F165" s="4" t="str">
        <f>HYPERLINK("http://141.218.60.56/~jnz1568/getInfo.php?workbook=14_06.xlsx&amp;sheet=A0&amp;row=165&amp;col=6&amp;number=627000000&amp;sourceID=14","627000000")</f>
        <v>627000000</v>
      </c>
      <c r="G165" s="4" t="str">
        <f>HYPERLINK("http://141.218.60.56/~jnz1568/getInfo.php?workbook=14_06.xlsx&amp;sheet=A0&amp;row=165&amp;col=7&amp;number=0&amp;sourceID=14","0")</f>
        <v>0</v>
      </c>
    </row>
    <row r="166" spans="1:7">
      <c r="A166" s="3">
        <v>14</v>
      </c>
      <c r="B166" s="3">
        <v>6</v>
      </c>
      <c r="C166" s="3">
        <v>32</v>
      </c>
      <c r="D166" s="3">
        <v>8</v>
      </c>
      <c r="E166" s="3">
        <v>-68.349</v>
      </c>
      <c r="F166" s="4" t="str">
        <f>HYPERLINK("http://141.218.60.56/~jnz1568/getInfo.php?workbook=14_06.xlsx&amp;sheet=A0&amp;row=166&amp;col=6&amp;number=31700000&amp;sourceID=14","31700000")</f>
        <v>31700000</v>
      </c>
      <c r="G166" s="4" t="str">
        <f>HYPERLINK("http://141.218.60.56/~jnz1568/getInfo.php?workbook=14_06.xlsx&amp;sheet=A0&amp;row=166&amp;col=7&amp;number=0&amp;sourceID=14","0")</f>
        <v>0</v>
      </c>
    </row>
    <row r="167" spans="1:7">
      <c r="A167" s="3">
        <v>14</v>
      </c>
      <c r="B167" s="3">
        <v>6</v>
      </c>
      <c r="C167" s="3">
        <v>33</v>
      </c>
      <c r="D167" s="3">
        <v>8</v>
      </c>
      <c r="E167" s="3">
        <v>-67.564</v>
      </c>
      <c r="F167" s="4" t="str">
        <f>HYPERLINK("http://141.218.60.56/~jnz1568/getInfo.php?workbook=14_06.xlsx&amp;sheet=A0&amp;row=167&amp;col=6&amp;number=1020000&amp;sourceID=14","1020000")</f>
        <v>1020000</v>
      </c>
      <c r="G167" s="4" t="str">
        <f>HYPERLINK("http://141.218.60.56/~jnz1568/getInfo.php?workbook=14_06.xlsx&amp;sheet=A0&amp;row=167&amp;col=7&amp;number=0&amp;sourceID=14","0")</f>
        <v>0</v>
      </c>
    </row>
    <row r="168" spans="1:7">
      <c r="A168" s="3">
        <v>14</v>
      </c>
      <c r="B168" s="3">
        <v>6</v>
      </c>
      <c r="C168" s="3">
        <v>34</v>
      </c>
      <c r="D168" s="3">
        <v>8</v>
      </c>
      <c r="E168" s="3">
        <v>-66.339</v>
      </c>
      <c r="F168" s="4" t="str">
        <f>HYPERLINK("http://141.218.60.56/~jnz1568/getInfo.php?workbook=14_06.xlsx&amp;sheet=A0&amp;row=168&amp;col=6&amp;number=10500000&amp;sourceID=14","10500000")</f>
        <v>10500000</v>
      </c>
      <c r="G168" s="4" t="str">
        <f>HYPERLINK("http://141.218.60.56/~jnz1568/getInfo.php?workbook=14_06.xlsx&amp;sheet=A0&amp;row=168&amp;col=7&amp;number=0&amp;sourceID=14","0")</f>
        <v>0</v>
      </c>
    </row>
    <row r="169" spans="1:7">
      <c r="A169" s="3">
        <v>14</v>
      </c>
      <c r="B169" s="3">
        <v>6</v>
      </c>
      <c r="C169" s="3">
        <v>16</v>
      </c>
      <c r="D169" s="3">
        <v>9</v>
      </c>
      <c r="E169" s="3">
        <v>261.434</v>
      </c>
      <c r="F169" s="4" t="str">
        <f>HYPERLINK("http://141.218.60.56/~jnz1568/getInfo.php?workbook=14_06.xlsx&amp;sheet=A0&amp;row=169&amp;col=6&amp;number=15100000000&amp;sourceID=14","15100000000")</f>
        <v>15100000000</v>
      </c>
      <c r="G169" s="4" t="str">
        <f>HYPERLINK("http://141.218.60.56/~jnz1568/getInfo.php?workbook=14_06.xlsx&amp;sheet=A0&amp;row=169&amp;col=7&amp;number=0&amp;sourceID=14","0")</f>
        <v>0</v>
      </c>
    </row>
    <row r="170" spans="1:7">
      <c r="A170" s="3">
        <v>14</v>
      </c>
      <c r="B170" s="3">
        <v>6</v>
      </c>
      <c r="C170" s="3">
        <v>19</v>
      </c>
      <c r="D170" s="3">
        <v>9</v>
      </c>
      <c r="E170" s="3">
        <v>234.047</v>
      </c>
      <c r="F170" s="4" t="str">
        <f>HYPERLINK("http://141.218.60.56/~jnz1568/getInfo.php?workbook=14_06.xlsx&amp;sheet=A0&amp;row=170&amp;col=6&amp;number=72300000&amp;sourceID=14","72300000")</f>
        <v>72300000</v>
      </c>
      <c r="G170" s="4" t="str">
        <f>HYPERLINK("http://141.218.60.56/~jnz1568/getInfo.php?workbook=14_06.xlsx&amp;sheet=A0&amp;row=170&amp;col=7&amp;number=0&amp;sourceID=14","0")</f>
        <v>0</v>
      </c>
    </row>
    <row r="171" spans="1:7">
      <c r="A171" s="3">
        <v>14</v>
      </c>
      <c r="B171" s="3">
        <v>6</v>
      </c>
      <c r="C171" s="3">
        <v>22</v>
      </c>
      <c r="D171" s="3">
        <v>9</v>
      </c>
      <c r="E171" s="3">
        <v>75.124</v>
      </c>
      <c r="F171" s="4" t="str">
        <f>HYPERLINK("http://141.218.60.56/~jnz1568/getInfo.php?workbook=14_06.xlsx&amp;sheet=A0&amp;row=171&amp;col=6&amp;number=274000&amp;sourceID=14","274000")</f>
        <v>274000</v>
      </c>
      <c r="G171" s="4" t="str">
        <f>HYPERLINK("http://141.218.60.56/~jnz1568/getInfo.php?workbook=14_06.xlsx&amp;sheet=A0&amp;row=171&amp;col=7&amp;number=0&amp;sourceID=14","0")</f>
        <v>0</v>
      </c>
    </row>
    <row r="172" spans="1:7">
      <c r="A172" s="3">
        <v>14</v>
      </c>
      <c r="B172" s="3">
        <v>6</v>
      </c>
      <c r="C172" s="3">
        <v>23</v>
      </c>
      <c r="D172" s="3">
        <v>9</v>
      </c>
      <c r="E172" s="3">
        <v>74.836</v>
      </c>
      <c r="F172" s="4" t="str">
        <f>HYPERLINK("http://141.218.60.56/~jnz1568/getInfo.php?workbook=14_06.xlsx&amp;sheet=A0&amp;row=172&amp;col=6&amp;number=344000&amp;sourceID=14","344000")</f>
        <v>344000</v>
      </c>
      <c r="G172" s="4" t="str">
        <f>HYPERLINK("http://141.218.60.56/~jnz1568/getInfo.php?workbook=14_06.xlsx&amp;sheet=A0&amp;row=172&amp;col=7&amp;number=0&amp;sourceID=14","0")</f>
        <v>0</v>
      </c>
    </row>
    <row r="173" spans="1:7">
      <c r="A173" s="3">
        <v>14</v>
      </c>
      <c r="B173" s="3">
        <v>6</v>
      </c>
      <c r="C173" s="3">
        <v>27</v>
      </c>
      <c r="D173" s="3">
        <v>9</v>
      </c>
      <c r="E173" s="3">
        <v>-69.805</v>
      </c>
      <c r="F173" s="4" t="str">
        <f>HYPERLINK("http://141.218.60.56/~jnz1568/getInfo.php?workbook=14_06.xlsx&amp;sheet=A0&amp;row=173&amp;col=6&amp;number=193000000&amp;sourceID=14","193000000")</f>
        <v>193000000</v>
      </c>
      <c r="G173" s="4" t="str">
        <f>HYPERLINK("http://141.218.60.56/~jnz1568/getInfo.php?workbook=14_06.xlsx&amp;sheet=A0&amp;row=173&amp;col=7&amp;number=0&amp;sourceID=14","0")</f>
        <v>0</v>
      </c>
    </row>
    <row r="174" spans="1:7">
      <c r="A174" s="3">
        <v>14</v>
      </c>
      <c r="B174" s="3">
        <v>6</v>
      </c>
      <c r="C174" s="3">
        <v>28</v>
      </c>
      <c r="D174" s="3">
        <v>9</v>
      </c>
      <c r="E174" s="3">
        <v>-69.596</v>
      </c>
      <c r="F174" s="4" t="str">
        <f>HYPERLINK("http://141.218.60.56/~jnz1568/getInfo.php?workbook=14_06.xlsx&amp;sheet=A0&amp;row=174&amp;col=6&amp;number=697000000&amp;sourceID=14","697000000")</f>
        <v>697000000</v>
      </c>
      <c r="G174" s="4" t="str">
        <f>HYPERLINK("http://141.218.60.56/~jnz1568/getInfo.php?workbook=14_06.xlsx&amp;sheet=A0&amp;row=174&amp;col=7&amp;number=0&amp;sourceID=14","0")</f>
        <v>0</v>
      </c>
    </row>
    <row r="175" spans="1:7">
      <c r="A175" s="3">
        <v>14</v>
      </c>
      <c r="B175" s="3">
        <v>6</v>
      </c>
      <c r="C175" s="3">
        <v>32</v>
      </c>
      <c r="D175" s="3">
        <v>9</v>
      </c>
      <c r="E175" s="3">
        <v>-68.361</v>
      </c>
      <c r="F175" s="4" t="str">
        <f>HYPERLINK("http://141.218.60.56/~jnz1568/getInfo.php?workbook=14_06.xlsx&amp;sheet=A0&amp;row=175&amp;col=6&amp;number=1960000000&amp;sourceID=14","1960000000")</f>
        <v>1960000000</v>
      </c>
      <c r="G175" s="4" t="str">
        <f>HYPERLINK("http://141.218.60.56/~jnz1568/getInfo.php?workbook=14_06.xlsx&amp;sheet=A0&amp;row=175&amp;col=7&amp;number=0&amp;sourceID=14","0")</f>
        <v>0</v>
      </c>
    </row>
    <row r="176" spans="1:7">
      <c r="A176" s="3">
        <v>14</v>
      </c>
      <c r="B176" s="3">
        <v>6</v>
      </c>
      <c r="C176" s="3">
        <v>33</v>
      </c>
      <c r="D176" s="3">
        <v>9</v>
      </c>
      <c r="E176" s="3">
        <v>-67.576</v>
      </c>
      <c r="F176" s="4" t="str">
        <f>HYPERLINK("http://141.218.60.56/~jnz1568/getInfo.php?workbook=14_06.xlsx&amp;sheet=A0&amp;row=176&amp;col=6&amp;number=35600000&amp;sourceID=14","35600000")</f>
        <v>35600000</v>
      </c>
      <c r="G176" s="4" t="str">
        <f>HYPERLINK("http://141.218.60.56/~jnz1568/getInfo.php?workbook=14_06.xlsx&amp;sheet=A0&amp;row=176&amp;col=7&amp;number=0&amp;sourceID=14","0")</f>
        <v>0</v>
      </c>
    </row>
    <row r="177" spans="1:7">
      <c r="A177" s="3">
        <v>14</v>
      </c>
      <c r="B177" s="3">
        <v>6</v>
      </c>
      <c r="C177" s="3">
        <v>36</v>
      </c>
      <c r="D177" s="3">
        <v>9</v>
      </c>
      <c r="E177" s="3">
        <v>-65.765</v>
      </c>
      <c r="F177" s="4" t="str">
        <f>HYPERLINK("http://141.218.60.56/~jnz1568/getInfo.php?workbook=14_06.xlsx&amp;sheet=A0&amp;row=177&amp;col=6&amp;number=37100&amp;sourceID=14","37100")</f>
        <v>37100</v>
      </c>
      <c r="G177" s="4" t="str">
        <f>HYPERLINK("http://141.218.60.56/~jnz1568/getInfo.php?workbook=14_06.xlsx&amp;sheet=A0&amp;row=177&amp;col=7&amp;number=0&amp;sourceID=14","0")</f>
        <v>0</v>
      </c>
    </row>
    <row r="178" spans="1:7">
      <c r="A178" s="3">
        <v>14</v>
      </c>
      <c r="B178" s="3">
        <v>6</v>
      </c>
      <c r="C178" s="3">
        <v>38</v>
      </c>
      <c r="D178" s="3">
        <v>9</v>
      </c>
      <c r="E178" s="3">
        <v>-65.614</v>
      </c>
      <c r="F178" s="4" t="str">
        <f>HYPERLINK("http://141.218.60.56/~jnz1568/getInfo.php?workbook=14_06.xlsx&amp;sheet=A0&amp;row=178&amp;col=6&amp;number=79900&amp;sourceID=14","79900")</f>
        <v>79900</v>
      </c>
      <c r="G178" s="4" t="str">
        <f>HYPERLINK("http://141.218.60.56/~jnz1568/getInfo.php?workbook=14_06.xlsx&amp;sheet=A0&amp;row=178&amp;col=7&amp;number=0&amp;sourceID=14","0")</f>
        <v>0</v>
      </c>
    </row>
    <row r="179" spans="1:7">
      <c r="A179" s="3">
        <v>14</v>
      </c>
      <c r="B179" s="3">
        <v>6</v>
      </c>
      <c r="C179" s="3">
        <v>17</v>
      </c>
      <c r="D179" s="3">
        <v>10</v>
      </c>
      <c r="E179" s="3">
        <v>298.298</v>
      </c>
      <c r="F179" s="4" t="str">
        <f>HYPERLINK("http://141.218.60.56/~jnz1568/getInfo.php?workbook=14_06.xlsx&amp;sheet=A0&amp;row=179&amp;col=6&amp;number=1550000000&amp;sourceID=14","1550000000")</f>
        <v>1550000000</v>
      </c>
      <c r="G179" s="4" t="str">
        <f>HYPERLINK("http://141.218.60.56/~jnz1568/getInfo.php?workbook=14_06.xlsx&amp;sheet=A0&amp;row=179&amp;col=7&amp;number=0&amp;sourceID=14","0")</f>
        <v>0</v>
      </c>
    </row>
    <row r="180" spans="1:7">
      <c r="A180" s="3">
        <v>14</v>
      </c>
      <c r="B180" s="3">
        <v>6</v>
      </c>
      <c r="C180" s="3">
        <v>25</v>
      </c>
      <c r="D180" s="3">
        <v>10</v>
      </c>
      <c r="E180" s="3">
        <v>-72.748</v>
      </c>
      <c r="F180" s="4" t="str">
        <f>HYPERLINK("http://141.218.60.56/~jnz1568/getInfo.php?workbook=14_06.xlsx&amp;sheet=A0&amp;row=180&amp;col=6&amp;number=76000000&amp;sourceID=14","76000000")</f>
        <v>76000000</v>
      </c>
      <c r="G180" s="4" t="str">
        <f>HYPERLINK("http://141.218.60.56/~jnz1568/getInfo.php?workbook=14_06.xlsx&amp;sheet=A0&amp;row=180&amp;col=7&amp;number=0&amp;sourceID=14","0")</f>
        <v>0</v>
      </c>
    </row>
    <row r="181" spans="1:7">
      <c r="A181" s="3">
        <v>14</v>
      </c>
      <c r="B181" s="3">
        <v>6</v>
      </c>
      <c r="C181" s="3">
        <v>26</v>
      </c>
      <c r="D181" s="3">
        <v>10</v>
      </c>
      <c r="E181" s="3">
        <v>-72.441</v>
      </c>
      <c r="F181" s="4" t="str">
        <f>HYPERLINK("http://141.218.60.56/~jnz1568/getInfo.php?workbook=14_06.xlsx&amp;sheet=A0&amp;row=181&amp;col=6&amp;number=562000000&amp;sourceID=14","562000000")</f>
        <v>562000000</v>
      </c>
      <c r="G181" s="4" t="str">
        <f>HYPERLINK("http://141.218.60.56/~jnz1568/getInfo.php?workbook=14_06.xlsx&amp;sheet=A0&amp;row=181&amp;col=7&amp;number=0&amp;sourceID=14","0")</f>
        <v>0</v>
      </c>
    </row>
    <row r="182" spans="1:7">
      <c r="A182" s="3">
        <v>14</v>
      </c>
      <c r="B182" s="3">
        <v>6</v>
      </c>
      <c r="C182" s="3">
        <v>29</v>
      </c>
      <c r="D182" s="3">
        <v>10</v>
      </c>
      <c r="E182" s="3">
        <v>-71.74</v>
      </c>
      <c r="F182" s="4" t="str">
        <f>HYPERLINK("http://141.218.60.56/~jnz1568/getInfo.php?workbook=14_06.xlsx&amp;sheet=A0&amp;row=182&amp;col=6&amp;number=681000000&amp;sourceID=14","681000000")</f>
        <v>681000000</v>
      </c>
      <c r="G182" s="4" t="str">
        <f>HYPERLINK("http://141.218.60.56/~jnz1568/getInfo.php?workbook=14_06.xlsx&amp;sheet=A0&amp;row=182&amp;col=7&amp;number=0&amp;sourceID=14","0")</f>
        <v>0</v>
      </c>
    </row>
    <row r="183" spans="1:7">
      <c r="A183" s="3">
        <v>14</v>
      </c>
      <c r="B183" s="3">
        <v>6</v>
      </c>
      <c r="C183" s="3">
        <v>31</v>
      </c>
      <c r="D183" s="3">
        <v>10</v>
      </c>
      <c r="E183" s="3">
        <v>-70.934</v>
      </c>
      <c r="F183" s="4" t="str">
        <f>HYPERLINK("http://141.218.60.56/~jnz1568/getInfo.php?workbook=14_06.xlsx&amp;sheet=A0&amp;row=183&amp;col=6&amp;number=5320000&amp;sourceID=14","5320000")</f>
        <v>5320000</v>
      </c>
      <c r="G183" s="4" t="str">
        <f>HYPERLINK("http://141.218.60.56/~jnz1568/getInfo.php?workbook=14_06.xlsx&amp;sheet=A0&amp;row=183&amp;col=7&amp;number=0&amp;sourceID=14","0")</f>
        <v>0</v>
      </c>
    </row>
    <row r="184" spans="1:7">
      <c r="A184" s="3">
        <v>14</v>
      </c>
      <c r="B184" s="3">
        <v>6</v>
      </c>
      <c r="C184" s="3">
        <v>35</v>
      </c>
      <c r="D184" s="3">
        <v>10</v>
      </c>
      <c r="E184" s="3">
        <v>-68.187</v>
      </c>
      <c r="F184" s="4" t="str">
        <f>HYPERLINK("http://141.218.60.56/~jnz1568/getInfo.php?workbook=14_06.xlsx&amp;sheet=A0&amp;row=184&amp;col=6&amp;number=80800&amp;sourceID=14","80800")</f>
        <v>80800</v>
      </c>
      <c r="G184" s="4" t="str">
        <f>HYPERLINK("http://141.218.60.56/~jnz1568/getInfo.php?workbook=14_06.xlsx&amp;sheet=A0&amp;row=184&amp;col=7&amp;number=0&amp;sourceID=14","0")</f>
        <v>0</v>
      </c>
    </row>
    <row r="185" spans="1:7">
      <c r="A185" s="3">
        <v>14</v>
      </c>
      <c r="B185" s="3">
        <v>6</v>
      </c>
      <c r="C185" s="3">
        <v>16</v>
      </c>
      <c r="D185" s="3">
        <v>11</v>
      </c>
      <c r="E185" s="3">
        <v>302.356</v>
      </c>
      <c r="F185" s="4" t="str">
        <f>HYPERLINK("http://141.218.60.56/~jnz1568/getInfo.php?workbook=14_06.xlsx&amp;sheet=A0&amp;row=185&amp;col=6&amp;number=1210000000&amp;sourceID=14","1210000000")</f>
        <v>1210000000</v>
      </c>
      <c r="G185" s="4" t="str">
        <f>HYPERLINK("http://141.218.60.56/~jnz1568/getInfo.php?workbook=14_06.xlsx&amp;sheet=A0&amp;row=185&amp;col=7&amp;number=0&amp;sourceID=14","0")</f>
        <v>0</v>
      </c>
    </row>
    <row r="186" spans="1:7">
      <c r="A186" s="3">
        <v>14</v>
      </c>
      <c r="B186" s="3">
        <v>6</v>
      </c>
      <c r="C186" s="3">
        <v>17</v>
      </c>
      <c r="D186" s="3">
        <v>11</v>
      </c>
      <c r="E186" s="3">
        <v>298.251</v>
      </c>
      <c r="F186" s="4" t="str">
        <f>HYPERLINK("http://141.218.60.56/~jnz1568/getInfo.php?workbook=14_06.xlsx&amp;sheet=A0&amp;row=186&amp;col=6&amp;number=826000000&amp;sourceID=14","826000000")</f>
        <v>826000000</v>
      </c>
      <c r="G186" s="4" t="str">
        <f>HYPERLINK("http://141.218.60.56/~jnz1568/getInfo.php?workbook=14_06.xlsx&amp;sheet=A0&amp;row=186&amp;col=7&amp;number=0&amp;sourceID=14","0")</f>
        <v>0</v>
      </c>
    </row>
    <row r="187" spans="1:7">
      <c r="A187" s="3">
        <v>14</v>
      </c>
      <c r="B187" s="3">
        <v>6</v>
      </c>
      <c r="C187" s="3">
        <v>18</v>
      </c>
      <c r="D187" s="3">
        <v>11</v>
      </c>
      <c r="E187" s="3">
        <v>296.673</v>
      </c>
      <c r="F187" s="4" t="str">
        <f>HYPERLINK("http://141.218.60.56/~jnz1568/getInfo.php?workbook=14_06.xlsx&amp;sheet=A0&amp;row=187&amp;col=6&amp;number=5300000000&amp;sourceID=14","5300000000")</f>
        <v>5300000000</v>
      </c>
      <c r="G187" s="4" t="str">
        <f>HYPERLINK("http://141.218.60.56/~jnz1568/getInfo.php?workbook=14_06.xlsx&amp;sheet=A0&amp;row=187&amp;col=7&amp;number=0&amp;sourceID=14","0")</f>
        <v>0</v>
      </c>
    </row>
    <row r="188" spans="1:7">
      <c r="A188" s="3">
        <v>14</v>
      </c>
      <c r="B188" s="3">
        <v>6</v>
      </c>
      <c r="C188" s="3">
        <v>19</v>
      </c>
      <c r="D188" s="3">
        <v>11</v>
      </c>
      <c r="E188" s="3">
        <v>266.314</v>
      </c>
      <c r="F188" s="4" t="str">
        <f>HYPERLINK("http://141.218.60.56/~jnz1568/getInfo.php?workbook=14_06.xlsx&amp;sheet=A0&amp;row=188&amp;col=6&amp;number=6930000&amp;sourceID=14","6930000")</f>
        <v>6930000</v>
      </c>
      <c r="G188" s="4" t="str">
        <f>HYPERLINK("http://141.218.60.56/~jnz1568/getInfo.php?workbook=14_06.xlsx&amp;sheet=A0&amp;row=188&amp;col=7&amp;number=0&amp;sourceID=14","0")</f>
        <v>0</v>
      </c>
    </row>
    <row r="189" spans="1:7">
      <c r="A189" s="3">
        <v>14</v>
      </c>
      <c r="B189" s="3">
        <v>6</v>
      </c>
      <c r="C189" s="3">
        <v>20</v>
      </c>
      <c r="D189" s="3">
        <v>11</v>
      </c>
      <c r="E189" s="3">
        <v>210.215</v>
      </c>
      <c r="F189" s="4" t="str">
        <f>HYPERLINK("http://141.218.60.56/~jnz1568/getInfo.php?workbook=14_06.xlsx&amp;sheet=A0&amp;row=189&amp;col=6&amp;number=23000000&amp;sourceID=14","23000000")</f>
        <v>23000000</v>
      </c>
      <c r="G189" s="4" t="str">
        <f>HYPERLINK("http://141.218.60.56/~jnz1568/getInfo.php?workbook=14_06.xlsx&amp;sheet=A0&amp;row=189&amp;col=7&amp;number=0&amp;sourceID=14","0")</f>
        <v>0</v>
      </c>
    </row>
    <row r="190" spans="1:7">
      <c r="A190" s="3">
        <v>14</v>
      </c>
      <c r="B190" s="3">
        <v>6</v>
      </c>
      <c r="C190" s="3">
        <v>25</v>
      </c>
      <c r="D190" s="3">
        <v>11</v>
      </c>
      <c r="E190" s="3">
        <v>-72.754</v>
      </c>
      <c r="F190" s="4" t="str">
        <f>HYPERLINK("http://141.218.60.56/~jnz1568/getInfo.php?workbook=14_06.xlsx&amp;sheet=A0&amp;row=190&amp;col=6&amp;number=199000000&amp;sourceID=14","199000000")</f>
        <v>199000000</v>
      </c>
      <c r="G190" s="4" t="str">
        <f>HYPERLINK("http://141.218.60.56/~jnz1568/getInfo.php?workbook=14_06.xlsx&amp;sheet=A0&amp;row=190&amp;col=7&amp;number=0&amp;sourceID=14","0")</f>
        <v>0</v>
      </c>
    </row>
    <row r="191" spans="1:7">
      <c r="A191" s="3">
        <v>14</v>
      </c>
      <c r="B191" s="3">
        <v>6</v>
      </c>
      <c r="C191" s="3">
        <v>26</v>
      </c>
      <c r="D191" s="3">
        <v>11</v>
      </c>
      <c r="E191" s="3">
        <v>-72.447</v>
      </c>
      <c r="F191" s="4" t="str">
        <f>HYPERLINK("http://141.218.60.56/~jnz1568/getInfo.php?workbook=14_06.xlsx&amp;sheet=A0&amp;row=191&amp;col=6&amp;number=174000000&amp;sourceID=14","174000000")</f>
        <v>174000000</v>
      </c>
      <c r="G191" s="4" t="str">
        <f>HYPERLINK("http://141.218.60.56/~jnz1568/getInfo.php?workbook=14_06.xlsx&amp;sheet=A0&amp;row=191&amp;col=7&amp;number=0&amp;sourceID=14","0")</f>
        <v>0</v>
      </c>
    </row>
    <row r="192" spans="1:7">
      <c r="A192" s="3">
        <v>14</v>
      </c>
      <c r="B192" s="3">
        <v>6</v>
      </c>
      <c r="C192" s="3">
        <v>27</v>
      </c>
      <c r="D192" s="3">
        <v>11</v>
      </c>
      <c r="E192" s="3">
        <v>-72.377</v>
      </c>
      <c r="F192" s="4" t="str">
        <f>HYPERLINK("http://141.218.60.56/~jnz1568/getInfo.php?workbook=14_06.xlsx&amp;sheet=A0&amp;row=192&amp;col=6&amp;number=824000000&amp;sourceID=14","824000000")</f>
        <v>824000000</v>
      </c>
      <c r="G192" s="4" t="str">
        <f>HYPERLINK("http://141.218.60.56/~jnz1568/getInfo.php?workbook=14_06.xlsx&amp;sheet=A0&amp;row=192&amp;col=7&amp;number=0&amp;sourceID=14","0")</f>
        <v>0</v>
      </c>
    </row>
    <row r="193" spans="1:7">
      <c r="A193" s="3">
        <v>14</v>
      </c>
      <c r="B193" s="3">
        <v>6</v>
      </c>
      <c r="C193" s="3">
        <v>29</v>
      </c>
      <c r="D193" s="3">
        <v>11</v>
      </c>
      <c r="E193" s="3">
        <v>-71.745</v>
      </c>
      <c r="F193" s="4" t="str">
        <f>HYPERLINK("http://141.218.60.56/~jnz1568/getInfo.php?workbook=14_06.xlsx&amp;sheet=A0&amp;row=193&amp;col=6&amp;number=2160000000&amp;sourceID=14","2160000000")</f>
        <v>2160000000</v>
      </c>
      <c r="G193" s="4" t="str">
        <f>HYPERLINK("http://141.218.60.56/~jnz1568/getInfo.php?workbook=14_06.xlsx&amp;sheet=A0&amp;row=193&amp;col=7&amp;number=0&amp;sourceID=14","0")</f>
        <v>0</v>
      </c>
    </row>
    <row r="194" spans="1:7">
      <c r="A194" s="3">
        <v>14</v>
      </c>
      <c r="B194" s="3">
        <v>6</v>
      </c>
      <c r="C194" s="3">
        <v>30</v>
      </c>
      <c r="D194" s="3">
        <v>11</v>
      </c>
      <c r="E194" s="3">
        <v>-71.04</v>
      </c>
      <c r="F194" s="4" t="str">
        <f>HYPERLINK("http://141.218.60.56/~jnz1568/getInfo.php?workbook=14_06.xlsx&amp;sheet=A0&amp;row=194&amp;col=6&amp;number=209000000&amp;sourceID=14","209000000")</f>
        <v>209000000</v>
      </c>
      <c r="G194" s="4" t="str">
        <f>HYPERLINK("http://141.218.60.56/~jnz1568/getInfo.php?workbook=14_06.xlsx&amp;sheet=A0&amp;row=194&amp;col=7&amp;number=0&amp;sourceID=14","0")</f>
        <v>0</v>
      </c>
    </row>
    <row r="195" spans="1:7">
      <c r="A195" s="3">
        <v>14</v>
      </c>
      <c r="B195" s="3">
        <v>6</v>
      </c>
      <c r="C195" s="3">
        <v>31</v>
      </c>
      <c r="D195" s="3">
        <v>11</v>
      </c>
      <c r="E195" s="3">
        <v>-70.939</v>
      </c>
      <c r="F195" s="4" t="str">
        <f>HYPERLINK("http://141.218.60.56/~jnz1568/getInfo.php?workbook=14_06.xlsx&amp;sheet=A0&amp;row=195&amp;col=6&amp;number=71500&amp;sourceID=14","71500")</f>
        <v>71500</v>
      </c>
      <c r="G195" s="4" t="str">
        <f>HYPERLINK("http://141.218.60.56/~jnz1568/getInfo.php?workbook=14_06.xlsx&amp;sheet=A0&amp;row=195&amp;col=7&amp;number=0&amp;sourceID=14","0")</f>
        <v>0</v>
      </c>
    </row>
    <row r="196" spans="1:7">
      <c r="A196" s="3">
        <v>14</v>
      </c>
      <c r="B196" s="3">
        <v>6</v>
      </c>
      <c r="C196" s="3">
        <v>32</v>
      </c>
      <c r="D196" s="3">
        <v>11</v>
      </c>
      <c r="E196" s="3">
        <v>-70.826</v>
      </c>
      <c r="F196" s="4" t="str">
        <f>HYPERLINK("http://141.218.60.56/~jnz1568/getInfo.php?workbook=14_06.xlsx&amp;sheet=A0&amp;row=196&amp;col=6&amp;number=10100000&amp;sourceID=14","10100000")</f>
        <v>10100000</v>
      </c>
      <c r="G196" s="4" t="str">
        <f>HYPERLINK("http://141.218.60.56/~jnz1568/getInfo.php?workbook=14_06.xlsx&amp;sheet=A0&amp;row=196&amp;col=7&amp;number=0&amp;sourceID=14","0")</f>
        <v>0</v>
      </c>
    </row>
    <row r="197" spans="1:7">
      <c r="A197" s="3">
        <v>14</v>
      </c>
      <c r="B197" s="3">
        <v>6</v>
      </c>
      <c r="C197" s="3">
        <v>33</v>
      </c>
      <c r="D197" s="3">
        <v>11</v>
      </c>
      <c r="E197" s="3">
        <v>-69.984</v>
      </c>
      <c r="F197" s="4" t="str">
        <f>HYPERLINK("http://141.218.60.56/~jnz1568/getInfo.php?workbook=14_06.xlsx&amp;sheet=A0&amp;row=197&amp;col=6&amp;number=2270000&amp;sourceID=14","2270000")</f>
        <v>2270000</v>
      </c>
      <c r="G197" s="4" t="str">
        <f>HYPERLINK("http://141.218.60.56/~jnz1568/getInfo.php?workbook=14_06.xlsx&amp;sheet=A0&amp;row=197&amp;col=7&amp;number=0&amp;sourceID=14","0")</f>
        <v>0</v>
      </c>
    </row>
    <row r="198" spans="1:7">
      <c r="A198" s="3">
        <v>14</v>
      </c>
      <c r="B198" s="3">
        <v>6</v>
      </c>
      <c r="C198" s="3">
        <v>34</v>
      </c>
      <c r="D198" s="3">
        <v>11</v>
      </c>
      <c r="E198" s="3">
        <v>-68.669</v>
      </c>
      <c r="F198" s="4" t="str">
        <f>HYPERLINK("http://141.218.60.56/~jnz1568/getInfo.php?workbook=14_06.xlsx&amp;sheet=A0&amp;row=198&amp;col=6&amp;number=183000&amp;sourceID=14","183000")</f>
        <v>183000</v>
      </c>
      <c r="G198" s="4" t="str">
        <f>HYPERLINK("http://141.218.60.56/~jnz1568/getInfo.php?workbook=14_06.xlsx&amp;sheet=A0&amp;row=198&amp;col=7&amp;number=0&amp;sourceID=14","0")</f>
        <v>0</v>
      </c>
    </row>
    <row r="199" spans="1:7">
      <c r="A199" s="3">
        <v>14</v>
      </c>
      <c r="B199" s="3">
        <v>6</v>
      </c>
      <c r="C199" s="3">
        <v>35</v>
      </c>
      <c r="D199" s="3">
        <v>11</v>
      </c>
      <c r="E199" s="3">
        <v>-68.192</v>
      </c>
      <c r="F199" s="4" t="str">
        <f>HYPERLINK("http://141.218.60.56/~jnz1568/getInfo.php?workbook=14_06.xlsx&amp;sheet=A0&amp;row=199&amp;col=6&amp;number=83600&amp;sourceID=14","83600")</f>
        <v>83600</v>
      </c>
      <c r="G199" s="4" t="str">
        <f>HYPERLINK("http://141.218.60.56/~jnz1568/getInfo.php?workbook=14_06.xlsx&amp;sheet=A0&amp;row=199&amp;col=7&amp;number=0&amp;sourceID=14","0")</f>
        <v>0</v>
      </c>
    </row>
    <row r="200" spans="1:7">
      <c r="A200" s="3">
        <v>14</v>
      </c>
      <c r="B200" s="3">
        <v>6</v>
      </c>
      <c r="C200" s="3">
        <v>36</v>
      </c>
      <c r="D200" s="3">
        <v>11</v>
      </c>
      <c r="E200" s="3">
        <v>-68.044</v>
      </c>
      <c r="F200" s="4" t="str">
        <f>HYPERLINK("http://141.218.60.56/~jnz1568/getInfo.php?workbook=14_06.xlsx&amp;sheet=A0&amp;row=200&amp;col=6&amp;number=157000&amp;sourceID=14","157000")</f>
        <v>157000</v>
      </c>
      <c r="G200" s="4" t="str">
        <f>HYPERLINK("http://141.218.60.56/~jnz1568/getInfo.php?workbook=14_06.xlsx&amp;sheet=A0&amp;row=200&amp;col=7&amp;number=0&amp;sourceID=14","0")</f>
        <v>0</v>
      </c>
    </row>
    <row r="201" spans="1:7">
      <c r="A201" s="3">
        <v>14</v>
      </c>
      <c r="B201" s="3">
        <v>6</v>
      </c>
      <c r="C201" s="3">
        <v>16</v>
      </c>
      <c r="D201" s="3">
        <v>12</v>
      </c>
      <c r="E201" s="3">
        <v>302.457</v>
      </c>
      <c r="F201" s="4" t="str">
        <f>HYPERLINK("http://141.218.60.56/~jnz1568/getInfo.php?workbook=14_06.xlsx&amp;sheet=A0&amp;row=201&amp;col=6&amp;number=2980000000&amp;sourceID=14","2980000000")</f>
        <v>2980000000</v>
      </c>
      <c r="G201" s="4" t="str">
        <f>HYPERLINK("http://141.218.60.56/~jnz1568/getInfo.php?workbook=14_06.xlsx&amp;sheet=A0&amp;row=201&amp;col=7&amp;number=0&amp;sourceID=14","0")</f>
        <v>0</v>
      </c>
    </row>
    <row r="202" spans="1:7">
      <c r="A202" s="3">
        <v>14</v>
      </c>
      <c r="B202" s="3">
        <v>6</v>
      </c>
      <c r="C202" s="3">
        <v>17</v>
      </c>
      <c r="D202" s="3">
        <v>12</v>
      </c>
      <c r="E202" s="3">
        <v>298.349</v>
      </c>
      <c r="F202" s="4" t="str">
        <f>HYPERLINK("http://141.218.60.56/~jnz1568/getInfo.php?workbook=14_06.xlsx&amp;sheet=A0&amp;row=202&amp;col=6&amp;number=2610000000&amp;sourceID=14","2610000000")</f>
        <v>2610000000</v>
      </c>
      <c r="G202" s="4" t="str">
        <f>HYPERLINK("http://141.218.60.56/~jnz1568/getInfo.php?workbook=14_06.xlsx&amp;sheet=A0&amp;row=202&amp;col=7&amp;number=0&amp;sourceID=14","0")</f>
        <v>0</v>
      </c>
    </row>
    <row r="203" spans="1:7">
      <c r="A203" s="3">
        <v>14</v>
      </c>
      <c r="B203" s="3">
        <v>6</v>
      </c>
      <c r="C203" s="3">
        <v>19</v>
      </c>
      <c r="D203" s="3">
        <v>12</v>
      </c>
      <c r="E203" s="3">
        <v>266.393</v>
      </c>
      <c r="F203" s="4" t="str">
        <f>HYPERLINK("http://141.218.60.56/~jnz1568/getInfo.php?workbook=14_06.xlsx&amp;sheet=A0&amp;row=203&amp;col=6&amp;number=1370000&amp;sourceID=14","1370000")</f>
        <v>1370000</v>
      </c>
      <c r="G203" s="4" t="str">
        <f>HYPERLINK("http://141.218.60.56/~jnz1568/getInfo.php?workbook=14_06.xlsx&amp;sheet=A0&amp;row=203&amp;col=7&amp;number=0&amp;sourceID=14","0")</f>
        <v>0</v>
      </c>
    </row>
    <row r="204" spans="1:7">
      <c r="A204" s="3">
        <v>14</v>
      </c>
      <c r="B204" s="3">
        <v>6</v>
      </c>
      <c r="C204" s="3">
        <v>21</v>
      </c>
      <c r="D204" s="3">
        <v>12</v>
      </c>
      <c r="E204" s="3">
        <v>-76.887</v>
      </c>
      <c r="F204" s="4" t="str">
        <f>HYPERLINK("http://141.218.60.56/~jnz1568/getInfo.php?workbook=14_06.xlsx&amp;sheet=A0&amp;row=204&amp;col=6&amp;number=106000&amp;sourceID=14","106000")</f>
        <v>106000</v>
      </c>
      <c r="G204" s="4" t="str">
        <f>HYPERLINK("http://141.218.60.56/~jnz1568/getInfo.php?workbook=14_06.xlsx&amp;sheet=A0&amp;row=204&amp;col=7&amp;number=0&amp;sourceID=14","0")</f>
        <v>0</v>
      </c>
    </row>
    <row r="205" spans="1:7">
      <c r="A205" s="3">
        <v>14</v>
      </c>
      <c r="B205" s="3">
        <v>6</v>
      </c>
      <c r="C205" s="3">
        <v>25</v>
      </c>
      <c r="D205" s="3">
        <v>12</v>
      </c>
      <c r="E205" s="3">
        <v>-72.764</v>
      </c>
      <c r="F205" s="4" t="str">
        <f>HYPERLINK("http://141.218.60.56/~jnz1568/getInfo.php?workbook=14_06.xlsx&amp;sheet=A0&amp;row=205&amp;col=6&amp;number=30600000&amp;sourceID=14","30600000")</f>
        <v>30600000</v>
      </c>
      <c r="G205" s="4" t="str">
        <f>HYPERLINK("http://141.218.60.56/~jnz1568/getInfo.php?workbook=14_06.xlsx&amp;sheet=A0&amp;row=205&amp;col=7&amp;number=0&amp;sourceID=14","0")</f>
        <v>0</v>
      </c>
    </row>
    <row r="206" spans="1:7">
      <c r="A206" s="3">
        <v>14</v>
      </c>
      <c r="B206" s="3">
        <v>6</v>
      </c>
      <c r="C206" s="3">
        <v>26</v>
      </c>
      <c r="D206" s="3">
        <v>12</v>
      </c>
      <c r="E206" s="3">
        <v>-72.457</v>
      </c>
      <c r="F206" s="4" t="str">
        <f>HYPERLINK("http://141.218.60.56/~jnz1568/getInfo.php?workbook=14_06.xlsx&amp;sheet=A0&amp;row=206&amp;col=6&amp;number=90000000&amp;sourceID=14","90000000")</f>
        <v>90000000</v>
      </c>
      <c r="G206" s="4" t="str">
        <f>HYPERLINK("http://141.218.60.56/~jnz1568/getInfo.php?workbook=14_06.xlsx&amp;sheet=A0&amp;row=206&amp;col=7&amp;number=0&amp;sourceID=14","0")</f>
        <v>0</v>
      </c>
    </row>
    <row r="207" spans="1:7">
      <c r="A207" s="3">
        <v>14</v>
      </c>
      <c r="B207" s="3">
        <v>6</v>
      </c>
      <c r="C207" s="3">
        <v>27</v>
      </c>
      <c r="D207" s="3">
        <v>12</v>
      </c>
      <c r="E207" s="3">
        <v>-72.388</v>
      </c>
      <c r="F207" s="4" t="str">
        <f>HYPERLINK("http://141.218.60.56/~jnz1568/getInfo.php?workbook=14_06.xlsx&amp;sheet=A0&amp;row=207&amp;col=6&amp;number=209000000&amp;sourceID=14","209000000")</f>
        <v>209000000</v>
      </c>
      <c r="G207" s="4" t="str">
        <f>HYPERLINK("http://141.218.60.56/~jnz1568/getInfo.php?workbook=14_06.xlsx&amp;sheet=A0&amp;row=207&amp;col=7&amp;number=0&amp;sourceID=14","0")</f>
        <v>0</v>
      </c>
    </row>
    <row r="208" spans="1:7">
      <c r="A208" s="3">
        <v>14</v>
      </c>
      <c r="B208" s="3">
        <v>6</v>
      </c>
      <c r="C208" s="3">
        <v>28</v>
      </c>
      <c r="D208" s="3">
        <v>12</v>
      </c>
      <c r="E208" s="3">
        <v>-72.162</v>
      </c>
      <c r="F208" s="4" t="str">
        <f>HYPERLINK("http://141.218.60.56/~jnz1568/getInfo.php?workbook=14_06.xlsx&amp;sheet=A0&amp;row=208&amp;col=6&amp;number=1100000000&amp;sourceID=14","1100000000")</f>
        <v>1100000000</v>
      </c>
      <c r="G208" s="4" t="str">
        <f>HYPERLINK("http://141.218.60.56/~jnz1568/getInfo.php?workbook=14_06.xlsx&amp;sheet=A0&amp;row=208&amp;col=7&amp;number=0&amp;sourceID=14","0")</f>
        <v>0</v>
      </c>
    </row>
    <row r="209" spans="1:7">
      <c r="A209" s="3">
        <v>14</v>
      </c>
      <c r="B209" s="3">
        <v>6</v>
      </c>
      <c r="C209" s="3">
        <v>29</v>
      </c>
      <c r="D209" s="3">
        <v>12</v>
      </c>
      <c r="E209" s="3">
        <v>-71.755</v>
      </c>
      <c r="F209" s="4" t="str">
        <f>HYPERLINK("http://141.218.60.56/~jnz1568/getInfo.php?workbook=14_06.xlsx&amp;sheet=A0&amp;row=209&amp;col=6&amp;number=3310000000&amp;sourceID=14","3310000000")</f>
        <v>3310000000</v>
      </c>
      <c r="G209" s="4" t="str">
        <f>HYPERLINK("http://141.218.60.56/~jnz1568/getInfo.php?workbook=14_06.xlsx&amp;sheet=A0&amp;row=209&amp;col=7&amp;number=0&amp;sourceID=14","0")</f>
        <v>0</v>
      </c>
    </row>
    <row r="210" spans="1:7">
      <c r="A210" s="3">
        <v>14</v>
      </c>
      <c r="B210" s="3">
        <v>6</v>
      </c>
      <c r="C210" s="3">
        <v>31</v>
      </c>
      <c r="D210" s="3">
        <v>12</v>
      </c>
      <c r="E210" s="3">
        <v>-70.949</v>
      </c>
      <c r="F210" s="4" t="str">
        <f>HYPERLINK("http://141.218.60.56/~jnz1568/getInfo.php?workbook=14_06.xlsx&amp;sheet=A0&amp;row=210&amp;col=6&amp;number=315000000&amp;sourceID=14","315000000")</f>
        <v>315000000</v>
      </c>
      <c r="G210" s="4" t="str">
        <f>HYPERLINK("http://141.218.60.56/~jnz1568/getInfo.php?workbook=14_06.xlsx&amp;sheet=A0&amp;row=210&amp;col=7&amp;number=0&amp;sourceID=14","0")</f>
        <v>0</v>
      </c>
    </row>
    <row r="211" spans="1:7">
      <c r="A211" s="3">
        <v>14</v>
      </c>
      <c r="B211" s="3">
        <v>6</v>
      </c>
      <c r="C211" s="3">
        <v>32</v>
      </c>
      <c r="D211" s="3">
        <v>12</v>
      </c>
      <c r="E211" s="3">
        <v>-70.835</v>
      </c>
      <c r="F211" s="4" t="str">
        <f>HYPERLINK("http://141.218.60.56/~jnz1568/getInfo.php?workbook=14_06.xlsx&amp;sheet=A0&amp;row=211&amp;col=6&amp;number=75000000&amp;sourceID=14","75000000")</f>
        <v>75000000</v>
      </c>
      <c r="G211" s="4" t="str">
        <f>HYPERLINK("http://141.218.60.56/~jnz1568/getInfo.php?workbook=14_06.xlsx&amp;sheet=A0&amp;row=211&amp;col=7&amp;number=0&amp;sourceID=14","0")</f>
        <v>0</v>
      </c>
    </row>
    <row r="212" spans="1:7">
      <c r="A212" s="3">
        <v>14</v>
      </c>
      <c r="B212" s="3">
        <v>6</v>
      </c>
      <c r="C212" s="3">
        <v>33</v>
      </c>
      <c r="D212" s="3">
        <v>12</v>
      </c>
      <c r="E212" s="3">
        <v>-69.993</v>
      </c>
      <c r="F212" s="4" t="str">
        <f>HYPERLINK("http://141.218.60.56/~jnz1568/getInfo.php?workbook=14_06.xlsx&amp;sheet=A0&amp;row=212&amp;col=6&amp;number=232000&amp;sourceID=14","232000")</f>
        <v>232000</v>
      </c>
      <c r="G212" s="4" t="str">
        <f>HYPERLINK("http://141.218.60.56/~jnz1568/getInfo.php?workbook=14_06.xlsx&amp;sheet=A0&amp;row=212&amp;col=7&amp;number=0&amp;sourceID=14","0")</f>
        <v>0</v>
      </c>
    </row>
    <row r="213" spans="1:7">
      <c r="A213" s="3">
        <v>14</v>
      </c>
      <c r="B213" s="3">
        <v>6</v>
      </c>
      <c r="C213" s="3">
        <v>36</v>
      </c>
      <c r="D213" s="3">
        <v>12</v>
      </c>
      <c r="E213" s="3">
        <v>-68.052</v>
      </c>
      <c r="F213" s="4" t="str">
        <f>HYPERLINK("http://141.218.60.56/~jnz1568/getInfo.php?workbook=14_06.xlsx&amp;sheet=A0&amp;row=213&amp;col=6&amp;number=58100&amp;sourceID=14","58100")</f>
        <v>58100</v>
      </c>
      <c r="G213" s="4" t="str">
        <f>HYPERLINK("http://141.218.60.56/~jnz1568/getInfo.php?workbook=14_06.xlsx&amp;sheet=A0&amp;row=213&amp;col=7&amp;number=0&amp;sourceID=14","0")</f>
        <v>0</v>
      </c>
    </row>
    <row r="214" spans="1:7">
      <c r="A214" s="3">
        <v>14</v>
      </c>
      <c r="B214" s="3">
        <v>6</v>
      </c>
      <c r="C214" s="3">
        <v>38</v>
      </c>
      <c r="D214" s="3">
        <v>12</v>
      </c>
      <c r="E214" s="3">
        <v>-67.89</v>
      </c>
      <c r="F214" s="4" t="str">
        <f>HYPERLINK("http://141.218.60.56/~jnz1568/getInfo.php?workbook=14_06.xlsx&amp;sheet=A0&amp;row=214&amp;col=6&amp;number=229000&amp;sourceID=14","229000")</f>
        <v>229000</v>
      </c>
      <c r="G214" s="4" t="str">
        <f>HYPERLINK("http://141.218.60.56/~jnz1568/getInfo.php?workbook=14_06.xlsx&amp;sheet=A0&amp;row=214&amp;col=7&amp;number=0&amp;sourceID=14","0")</f>
        <v>0</v>
      </c>
    </row>
    <row r="215" spans="1:7">
      <c r="A215" s="3">
        <v>14</v>
      </c>
      <c r="B215" s="3">
        <v>6</v>
      </c>
      <c r="C215" s="3">
        <v>16</v>
      </c>
      <c r="D215" s="3">
        <v>13</v>
      </c>
      <c r="E215" s="3">
        <v>426.715</v>
      </c>
      <c r="F215" s="4" t="str">
        <f>HYPERLINK("http://141.218.60.56/~jnz1568/getInfo.php?workbook=14_06.xlsx&amp;sheet=A0&amp;row=215&amp;col=6&amp;number=15300000&amp;sourceID=14","15300000")</f>
        <v>15300000</v>
      </c>
      <c r="G215" s="4" t="str">
        <f>HYPERLINK("http://141.218.60.56/~jnz1568/getInfo.php?workbook=14_06.xlsx&amp;sheet=A0&amp;row=215&amp;col=7&amp;number=0&amp;sourceID=14","0")</f>
        <v>0</v>
      </c>
    </row>
    <row r="216" spans="1:7">
      <c r="A216" s="3">
        <v>14</v>
      </c>
      <c r="B216" s="3">
        <v>6</v>
      </c>
      <c r="C216" s="3">
        <v>17</v>
      </c>
      <c r="D216" s="3">
        <v>13</v>
      </c>
      <c r="E216" s="3">
        <v>418.584</v>
      </c>
      <c r="F216" s="4" t="str">
        <f>HYPERLINK("http://141.218.60.56/~jnz1568/getInfo.php?workbook=14_06.xlsx&amp;sheet=A0&amp;row=216&amp;col=6&amp;number=553000&amp;sourceID=14","553000")</f>
        <v>553000</v>
      </c>
      <c r="G216" s="4" t="str">
        <f>HYPERLINK("http://141.218.60.56/~jnz1568/getInfo.php?workbook=14_06.xlsx&amp;sheet=A0&amp;row=216&amp;col=7&amp;number=0&amp;sourceID=14","0")</f>
        <v>0</v>
      </c>
    </row>
    <row r="217" spans="1:7">
      <c r="A217" s="3">
        <v>14</v>
      </c>
      <c r="B217" s="3">
        <v>6</v>
      </c>
      <c r="C217" s="3">
        <v>19</v>
      </c>
      <c r="D217" s="3">
        <v>13</v>
      </c>
      <c r="E217" s="3">
        <v>358.284</v>
      </c>
      <c r="F217" s="4" t="str">
        <f>HYPERLINK("http://141.218.60.56/~jnz1568/getInfo.php?workbook=14_06.xlsx&amp;sheet=A0&amp;row=217&amp;col=6&amp;number=12400000000&amp;sourceID=14","12400000000")</f>
        <v>12400000000</v>
      </c>
      <c r="G217" s="4" t="str">
        <f>HYPERLINK("http://141.218.60.56/~jnz1568/getInfo.php?workbook=14_06.xlsx&amp;sheet=A0&amp;row=217&amp;col=7&amp;number=0&amp;sourceID=14","0")</f>
        <v>0</v>
      </c>
    </row>
    <row r="218" spans="1:7">
      <c r="A218" s="3">
        <v>14</v>
      </c>
      <c r="B218" s="3">
        <v>6</v>
      </c>
      <c r="C218" s="3">
        <v>24</v>
      </c>
      <c r="D218" s="3">
        <v>13</v>
      </c>
      <c r="E218" s="3">
        <v>83.302</v>
      </c>
      <c r="F218" s="4" t="str">
        <f>HYPERLINK("http://141.218.60.56/~jnz1568/getInfo.php?workbook=14_06.xlsx&amp;sheet=A0&amp;row=218&amp;col=6&amp;number=411000&amp;sourceID=14","411000")</f>
        <v>411000</v>
      </c>
      <c r="G218" s="4" t="str">
        <f>HYPERLINK("http://141.218.60.56/~jnz1568/getInfo.php?workbook=14_06.xlsx&amp;sheet=A0&amp;row=218&amp;col=7&amp;number=0&amp;sourceID=14","0")</f>
        <v>0</v>
      </c>
    </row>
    <row r="219" spans="1:7">
      <c r="A219" s="3">
        <v>14</v>
      </c>
      <c r="B219" s="3">
        <v>6</v>
      </c>
      <c r="C219" s="3">
        <v>25</v>
      </c>
      <c r="D219" s="3">
        <v>13</v>
      </c>
      <c r="E219" s="3">
        <v>-79.115</v>
      </c>
      <c r="F219" s="4" t="str">
        <f>HYPERLINK("http://141.218.60.56/~jnz1568/getInfo.php?workbook=14_06.xlsx&amp;sheet=A0&amp;row=219&amp;col=6&amp;number=2610000000&amp;sourceID=14","2610000000")</f>
        <v>2610000000</v>
      </c>
      <c r="G219" s="4" t="str">
        <f>HYPERLINK("http://141.218.60.56/~jnz1568/getInfo.php?workbook=14_06.xlsx&amp;sheet=A0&amp;row=219&amp;col=7&amp;number=0&amp;sourceID=14","0")</f>
        <v>0</v>
      </c>
    </row>
    <row r="220" spans="1:7">
      <c r="A220" s="3">
        <v>14</v>
      </c>
      <c r="B220" s="3">
        <v>6</v>
      </c>
      <c r="C220" s="3">
        <v>26</v>
      </c>
      <c r="D220" s="3">
        <v>13</v>
      </c>
      <c r="E220" s="3">
        <v>-78.752</v>
      </c>
      <c r="F220" s="4" t="str">
        <f>HYPERLINK("http://141.218.60.56/~jnz1568/getInfo.php?workbook=14_06.xlsx&amp;sheet=A0&amp;row=220&amp;col=6&amp;number=740000000&amp;sourceID=14","740000000")</f>
        <v>740000000</v>
      </c>
      <c r="G220" s="4" t="str">
        <f>HYPERLINK("http://141.218.60.56/~jnz1568/getInfo.php?workbook=14_06.xlsx&amp;sheet=A0&amp;row=220&amp;col=7&amp;number=0&amp;sourceID=14","0")</f>
        <v>0</v>
      </c>
    </row>
    <row r="221" spans="1:7">
      <c r="A221" s="3">
        <v>14</v>
      </c>
      <c r="B221" s="3">
        <v>6</v>
      </c>
      <c r="C221" s="3">
        <v>27</v>
      </c>
      <c r="D221" s="3">
        <v>13</v>
      </c>
      <c r="E221" s="3">
        <v>-78.67</v>
      </c>
      <c r="F221" s="4" t="str">
        <f>HYPERLINK("http://141.218.60.56/~jnz1568/getInfo.php?workbook=14_06.xlsx&amp;sheet=A0&amp;row=221&amp;col=6&amp;number=2200000&amp;sourceID=14","2200000")</f>
        <v>2200000</v>
      </c>
      <c r="G221" s="4" t="str">
        <f>HYPERLINK("http://141.218.60.56/~jnz1568/getInfo.php?workbook=14_06.xlsx&amp;sheet=A0&amp;row=221&amp;col=7&amp;number=0&amp;sourceID=14","0")</f>
        <v>0</v>
      </c>
    </row>
    <row r="222" spans="1:7">
      <c r="A222" s="3">
        <v>14</v>
      </c>
      <c r="B222" s="3">
        <v>6</v>
      </c>
      <c r="C222" s="3">
        <v>28</v>
      </c>
      <c r="D222" s="3">
        <v>13</v>
      </c>
      <c r="E222" s="3">
        <v>-78.404</v>
      </c>
      <c r="F222" s="4" t="str">
        <f>HYPERLINK("http://141.218.60.56/~jnz1568/getInfo.php?workbook=14_06.xlsx&amp;sheet=A0&amp;row=222&amp;col=6&amp;number=810000&amp;sourceID=14","810000")</f>
        <v>810000</v>
      </c>
      <c r="G222" s="4" t="str">
        <f>HYPERLINK("http://141.218.60.56/~jnz1568/getInfo.php?workbook=14_06.xlsx&amp;sheet=A0&amp;row=222&amp;col=7&amp;number=0&amp;sourceID=14","0")</f>
        <v>0</v>
      </c>
    </row>
    <row r="223" spans="1:7">
      <c r="A223" s="3">
        <v>14</v>
      </c>
      <c r="B223" s="3">
        <v>6</v>
      </c>
      <c r="C223" s="3">
        <v>29</v>
      </c>
      <c r="D223" s="3">
        <v>13</v>
      </c>
      <c r="E223" s="3">
        <v>-77.924</v>
      </c>
      <c r="F223" s="4" t="str">
        <f>HYPERLINK("http://141.218.60.56/~jnz1568/getInfo.php?workbook=14_06.xlsx&amp;sheet=A0&amp;row=223&amp;col=6&amp;number=95100000&amp;sourceID=14","95100000")</f>
        <v>95100000</v>
      </c>
      <c r="G223" s="4" t="str">
        <f>HYPERLINK("http://141.218.60.56/~jnz1568/getInfo.php?workbook=14_06.xlsx&amp;sheet=A0&amp;row=223&amp;col=7&amp;number=0&amp;sourceID=14","0")</f>
        <v>0</v>
      </c>
    </row>
    <row r="224" spans="1:7">
      <c r="A224" s="3">
        <v>14</v>
      </c>
      <c r="B224" s="3">
        <v>6</v>
      </c>
      <c r="C224" s="3">
        <v>31</v>
      </c>
      <c r="D224" s="3">
        <v>13</v>
      </c>
      <c r="E224" s="3">
        <v>-76.974</v>
      </c>
      <c r="F224" s="4" t="str">
        <f>HYPERLINK("http://141.218.60.56/~jnz1568/getInfo.php?workbook=14_06.xlsx&amp;sheet=A0&amp;row=224&amp;col=6&amp;number=2000000&amp;sourceID=14","2000000")</f>
        <v>2000000</v>
      </c>
      <c r="G224" s="4" t="str">
        <f>HYPERLINK("http://141.218.60.56/~jnz1568/getInfo.php?workbook=14_06.xlsx&amp;sheet=A0&amp;row=224&amp;col=7&amp;number=0&amp;sourceID=14","0")</f>
        <v>0</v>
      </c>
    </row>
    <row r="225" spans="1:7">
      <c r="A225" s="3">
        <v>14</v>
      </c>
      <c r="B225" s="3">
        <v>6</v>
      </c>
      <c r="C225" s="3">
        <v>32</v>
      </c>
      <c r="D225" s="3">
        <v>13</v>
      </c>
      <c r="E225" s="3">
        <v>-76.84</v>
      </c>
      <c r="F225" s="4" t="str">
        <f>HYPERLINK("http://141.218.60.56/~jnz1568/getInfo.php?workbook=14_06.xlsx&amp;sheet=A0&amp;row=225&amp;col=6&amp;number=2440000&amp;sourceID=14","2440000")</f>
        <v>2440000</v>
      </c>
      <c r="G225" s="4" t="str">
        <f>HYPERLINK("http://141.218.60.56/~jnz1568/getInfo.php?workbook=14_06.xlsx&amp;sheet=A0&amp;row=225&amp;col=7&amp;number=0&amp;sourceID=14","0")</f>
        <v>0</v>
      </c>
    </row>
    <row r="226" spans="1:7">
      <c r="A226" s="3">
        <v>14</v>
      </c>
      <c r="B226" s="3">
        <v>6</v>
      </c>
      <c r="C226" s="3">
        <v>33</v>
      </c>
      <c r="D226" s="3">
        <v>13</v>
      </c>
      <c r="E226" s="3">
        <v>-75.85</v>
      </c>
      <c r="F226" s="4" t="str">
        <f>HYPERLINK("http://141.218.60.56/~jnz1568/getInfo.php?workbook=14_06.xlsx&amp;sheet=A0&amp;row=226&amp;col=6&amp;number=339000000&amp;sourceID=14","339000000")</f>
        <v>339000000</v>
      </c>
      <c r="G226" s="4" t="str">
        <f>HYPERLINK("http://141.218.60.56/~jnz1568/getInfo.php?workbook=14_06.xlsx&amp;sheet=A0&amp;row=226&amp;col=7&amp;number=0&amp;sourceID=14","0")</f>
        <v>0</v>
      </c>
    </row>
    <row r="227" spans="1:7">
      <c r="A227" s="3">
        <v>14</v>
      </c>
      <c r="B227" s="3">
        <v>6</v>
      </c>
      <c r="C227" s="3">
        <v>16</v>
      </c>
      <c r="D227" s="3">
        <v>14</v>
      </c>
      <c r="E227" s="3">
        <v>438.965</v>
      </c>
      <c r="F227" s="4" t="str">
        <f>HYPERLINK("http://141.218.60.56/~jnz1568/getInfo.php?workbook=14_06.xlsx&amp;sheet=A0&amp;row=227&amp;col=6&amp;number=2690000000&amp;sourceID=14","2690000000")</f>
        <v>2690000000</v>
      </c>
      <c r="G227" s="4" t="str">
        <f>HYPERLINK("http://141.218.60.56/~jnz1568/getInfo.php?workbook=14_06.xlsx&amp;sheet=A0&amp;row=227&amp;col=7&amp;number=0&amp;sourceID=14","0")</f>
        <v>0</v>
      </c>
    </row>
    <row r="228" spans="1:7">
      <c r="A228" s="3">
        <v>14</v>
      </c>
      <c r="B228" s="3">
        <v>6</v>
      </c>
      <c r="C228" s="3">
        <v>17</v>
      </c>
      <c r="D228" s="3">
        <v>14</v>
      </c>
      <c r="E228" s="3">
        <v>430.366</v>
      </c>
      <c r="F228" s="4" t="str">
        <f>HYPERLINK("http://141.218.60.56/~jnz1568/getInfo.php?workbook=14_06.xlsx&amp;sheet=A0&amp;row=228&amp;col=6&amp;number=2930000000&amp;sourceID=14","2930000000")</f>
        <v>2930000000</v>
      </c>
      <c r="G228" s="4" t="str">
        <f>HYPERLINK("http://141.218.60.56/~jnz1568/getInfo.php?workbook=14_06.xlsx&amp;sheet=A0&amp;row=228&amp;col=7&amp;number=0&amp;sourceID=14","0")</f>
        <v>0</v>
      </c>
    </row>
    <row r="229" spans="1:7">
      <c r="A229" s="3">
        <v>14</v>
      </c>
      <c r="B229" s="3">
        <v>6</v>
      </c>
      <c r="C229" s="3">
        <v>18</v>
      </c>
      <c r="D229" s="3">
        <v>14</v>
      </c>
      <c r="E229" s="3">
        <v>427.088</v>
      </c>
      <c r="F229" s="4" t="str">
        <f>HYPERLINK("http://141.218.60.56/~jnz1568/getInfo.php?workbook=14_06.xlsx&amp;sheet=A0&amp;row=229&amp;col=6&amp;number=3060000000&amp;sourceID=14","3060000000")</f>
        <v>3060000000</v>
      </c>
      <c r="G229" s="4" t="str">
        <f>HYPERLINK("http://141.218.60.56/~jnz1568/getInfo.php?workbook=14_06.xlsx&amp;sheet=A0&amp;row=229&amp;col=7&amp;number=0&amp;sourceID=14","0")</f>
        <v>0</v>
      </c>
    </row>
    <row r="230" spans="1:7">
      <c r="A230" s="3">
        <v>14</v>
      </c>
      <c r="B230" s="3">
        <v>6</v>
      </c>
      <c r="C230" s="3">
        <v>20</v>
      </c>
      <c r="D230" s="3">
        <v>14</v>
      </c>
      <c r="E230" s="3">
        <v>268.258</v>
      </c>
      <c r="F230" s="4" t="str">
        <f>HYPERLINK("http://141.218.60.56/~jnz1568/getInfo.php?workbook=14_06.xlsx&amp;sheet=A0&amp;row=230&amp;col=6&amp;number=159000000&amp;sourceID=14","159000000")</f>
        <v>159000000</v>
      </c>
      <c r="G230" s="4" t="str">
        <f>HYPERLINK("http://141.218.60.56/~jnz1568/getInfo.php?workbook=14_06.xlsx&amp;sheet=A0&amp;row=230&amp;col=7&amp;number=0&amp;sourceID=14","0")</f>
        <v>0</v>
      </c>
    </row>
    <row r="231" spans="1:7">
      <c r="A231" s="3">
        <v>14</v>
      </c>
      <c r="B231" s="3">
        <v>6</v>
      </c>
      <c r="C231" s="3">
        <v>25</v>
      </c>
      <c r="D231" s="3">
        <v>14</v>
      </c>
      <c r="E231" s="3">
        <v>-79.535</v>
      </c>
      <c r="F231" s="4" t="str">
        <f>HYPERLINK("http://141.218.60.56/~jnz1568/getInfo.php?workbook=14_06.xlsx&amp;sheet=A0&amp;row=231&amp;col=6&amp;number=201000&amp;sourceID=14","201000")</f>
        <v>201000</v>
      </c>
      <c r="G231" s="4" t="str">
        <f>HYPERLINK("http://141.218.60.56/~jnz1568/getInfo.php?workbook=14_06.xlsx&amp;sheet=A0&amp;row=231&amp;col=7&amp;number=0&amp;sourceID=14","0")</f>
        <v>0</v>
      </c>
    </row>
    <row r="232" spans="1:7">
      <c r="A232" s="3">
        <v>14</v>
      </c>
      <c r="B232" s="3">
        <v>6</v>
      </c>
      <c r="C232" s="3">
        <v>26</v>
      </c>
      <c r="D232" s="3">
        <v>14</v>
      </c>
      <c r="E232" s="3">
        <v>-79.168</v>
      </c>
      <c r="F232" s="4" t="str">
        <f>HYPERLINK("http://141.218.60.56/~jnz1568/getInfo.php?workbook=14_06.xlsx&amp;sheet=A0&amp;row=232&amp;col=6&amp;number=155000&amp;sourceID=14","155000")</f>
        <v>155000</v>
      </c>
      <c r="G232" s="4" t="str">
        <f>HYPERLINK("http://141.218.60.56/~jnz1568/getInfo.php?workbook=14_06.xlsx&amp;sheet=A0&amp;row=232&amp;col=7&amp;number=0&amp;sourceID=14","0")</f>
        <v>0</v>
      </c>
    </row>
    <row r="233" spans="1:7">
      <c r="A233" s="3">
        <v>14</v>
      </c>
      <c r="B233" s="3">
        <v>6</v>
      </c>
      <c r="C233" s="3">
        <v>27</v>
      </c>
      <c r="D233" s="3">
        <v>14</v>
      </c>
      <c r="E233" s="3">
        <v>-79.085</v>
      </c>
      <c r="F233" s="4" t="str">
        <f>HYPERLINK("http://141.218.60.56/~jnz1568/getInfo.php?workbook=14_06.xlsx&amp;sheet=A0&amp;row=233&amp;col=6&amp;number=620000&amp;sourceID=14","620000")</f>
        <v>620000</v>
      </c>
      <c r="G233" s="4" t="str">
        <f>HYPERLINK("http://141.218.60.56/~jnz1568/getInfo.php?workbook=14_06.xlsx&amp;sheet=A0&amp;row=233&amp;col=7&amp;number=0&amp;sourceID=14","0")</f>
        <v>0</v>
      </c>
    </row>
    <row r="234" spans="1:7">
      <c r="A234" s="3">
        <v>14</v>
      </c>
      <c r="B234" s="3">
        <v>6</v>
      </c>
      <c r="C234" s="3">
        <v>29</v>
      </c>
      <c r="D234" s="3">
        <v>14</v>
      </c>
      <c r="E234" s="3">
        <v>-78.331</v>
      </c>
      <c r="F234" s="4" t="str">
        <f>HYPERLINK("http://141.218.60.56/~jnz1568/getInfo.php?workbook=14_06.xlsx&amp;sheet=A0&amp;row=234&amp;col=6&amp;number=38400&amp;sourceID=14","38400")</f>
        <v>38400</v>
      </c>
      <c r="G234" s="4" t="str">
        <f>HYPERLINK("http://141.218.60.56/~jnz1568/getInfo.php?workbook=14_06.xlsx&amp;sheet=A0&amp;row=234&amp;col=7&amp;number=0&amp;sourceID=14","0")</f>
        <v>0</v>
      </c>
    </row>
    <row r="235" spans="1:7">
      <c r="A235" s="3">
        <v>14</v>
      </c>
      <c r="B235" s="3">
        <v>6</v>
      </c>
      <c r="C235" s="3">
        <v>30</v>
      </c>
      <c r="D235" s="3">
        <v>14</v>
      </c>
      <c r="E235" s="3">
        <v>-77.491</v>
      </c>
      <c r="F235" s="4" t="str">
        <f>HYPERLINK("http://141.218.60.56/~jnz1568/getInfo.php?workbook=14_06.xlsx&amp;sheet=A0&amp;row=235&amp;col=6&amp;number=137000000&amp;sourceID=14","137000000")</f>
        <v>137000000</v>
      </c>
      <c r="G235" s="4" t="str">
        <f>HYPERLINK("http://141.218.60.56/~jnz1568/getInfo.php?workbook=14_06.xlsx&amp;sheet=A0&amp;row=235&amp;col=7&amp;number=0&amp;sourceID=14","0")</f>
        <v>0</v>
      </c>
    </row>
    <row r="236" spans="1:7">
      <c r="A236" s="3">
        <v>14</v>
      </c>
      <c r="B236" s="3">
        <v>6</v>
      </c>
      <c r="C236" s="3">
        <v>31</v>
      </c>
      <c r="D236" s="3">
        <v>14</v>
      </c>
      <c r="E236" s="3">
        <v>-77.372</v>
      </c>
      <c r="F236" s="4" t="str">
        <f>HYPERLINK("http://141.218.60.56/~jnz1568/getInfo.php?workbook=14_06.xlsx&amp;sheet=A0&amp;row=236&amp;col=6&amp;number=143000000&amp;sourceID=14","143000000")</f>
        <v>143000000</v>
      </c>
      <c r="G236" s="4" t="str">
        <f>HYPERLINK("http://141.218.60.56/~jnz1568/getInfo.php?workbook=14_06.xlsx&amp;sheet=A0&amp;row=236&amp;col=7&amp;number=0&amp;sourceID=14","0")</f>
        <v>0</v>
      </c>
    </row>
    <row r="237" spans="1:7">
      <c r="A237" s="3">
        <v>14</v>
      </c>
      <c r="B237" s="3">
        <v>6</v>
      </c>
      <c r="C237" s="3">
        <v>32</v>
      </c>
      <c r="D237" s="3">
        <v>14</v>
      </c>
      <c r="E237" s="3">
        <v>-77.237</v>
      </c>
      <c r="F237" s="4" t="str">
        <f>HYPERLINK("http://141.218.60.56/~jnz1568/getInfo.php?workbook=14_06.xlsx&amp;sheet=A0&amp;row=237&amp;col=6&amp;number=141000000&amp;sourceID=14","141000000")</f>
        <v>141000000</v>
      </c>
      <c r="G237" s="4" t="str">
        <f>HYPERLINK("http://141.218.60.56/~jnz1568/getInfo.php?workbook=14_06.xlsx&amp;sheet=A0&amp;row=237&amp;col=7&amp;number=0&amp;sourceID=14","0")</f>
        <v>0</v>
      </c>
    </row>
    <row r="238" spans="1:7">
      <c r="A238" s="3">
        <v>14</v>
      </c>
      <c r="B238" s="3">
        <v>6</v>
      </c>
      <c r="C238" s="3">
        <v>33</v>
      </c>
      <c r="D238" s="3">
        <v>14</v>
      </c>
      <c r="E238" s="3">
        <v>-76.236</v>
      </c>
      <c r="F238" s="4" t="str">
        <f>HYPERLINK("http://141.218.60.56/~jnz1568/getInfo.php?workbook=14_06.xlsx&amp;sheet=A0&amp;row=238&amp;col=6&amp;number=4800000&amp;sourceID=14","4800000")</f>
        <v>4800000</v>
      </c>
      <c r="G238" s="4" t="str">
        <f>HYPERLINK("http://141.218.60.56/~jnz1568/getInfo.php?workbook=14_06.xlsx&amp;sheet=A0&amp;row=238&amp;col=7&amp;number=0&amp;sourceID=14","0")</f>
        <v>0</v>
      </c>
    </row>
    <row r="239" spans="1:7">
      <c r="A239" s="3">
        <v>14</v>
      </c>
      <c r="B239" s="3">
        <v>6</v>
      </c>
      <c r="C239" s="3">
        <v>34</v>
      </c>
      <c r="D239" s="3">
        <v>14</v>
      </c>
      <c r="E239" s="3">
        <v>-74.679</v>
      </c>
      <c r="F239" s="4" t="str">
        <f>HYPERLINK("http://141.218.60.56/~jnz1568/getInfo.php?workbook=14_06.xlsx&amp;sheet=A0&amp;row=239&amp;col=6&amp;number=53300000&amp;sourceID=14","53300000")</f>
        <v>53300000</v>
      </c>
      <c r="G239" s="4" t="str">
        <f>HYPERLINK("http://141.218.60.56/~jnz1568/getInfo.php?workbook=14_06.xlsx&amp;sheet=A0&amp;row=239&amp;col=7&amp;number=0&amp;sourceID=14","0")</f>
        <v>0</v>
      </c>
    </row>
    <row r="240" spans="1:7">
      <c r="A240" s="3">
        <v>14</v>
      </c>
      <c r="B240" s="3">
        <v>6</v>
      </c>
      <c r="C240" s="3">
        <v>16</v>
      </c>
      <c r="D240" s="3">
        <v>15</v>
      </c>
      <c r="E240" s="3">
        <v>549.467</v>
      </c>
      <c r="F240" s="4" t="str">
        <f>HYPERLINK("http://141.218.60.56/~jnz1568/getInfo.php?workbook=14_06.xlsx&amp;sheet=A0&amp;row=240&amp;col=6&amp;number=2920000&amp;sourceID=14","2920000")</f>
        <v>2920000</v>
      </c>
      <c r="G240" s="4" t="str">
        <f>HYPERLINK("http://141.218.60.56/~jnz1568/getInfo.php?workbook=14_06.xlsx&amp;sheet=A0&amp;row=240&amp;col=7&amp;number=0&amp;sourceID=14","0")</f>
        <v>0</v>
      </c>
    </row>
    <row r="241" spans="1:7">
      <c r="A241" s="3">
        <v>14</v>
      </c>
      <c r="B241" s="3">
        <v>6</v>
      </c>
      <c r="C241" s="3">
        <v>17</v>
      </c>
      <c r="D241" s="3">
        <v>15</v>
      </c>
      <c r="E241" s="3">
        <v>536.059</v>
      </c>
      <c r="F241" s="4" t="str">
        <f>HYPERLINK("http://141.218.60.56/~jnz1568/getInfo.php?workbook=14_06.xlsx&amp;sheet=A0&amp;row=241&amp;col=6&amp;number=7910000&amp;sourceID=14","7910000")</f>
        <v>7910000</v>
      </c>
      <c r="G241" s="4" t="str">
        <f>HYPERLINK("http://141.218.60.56/~jnz1568/getInfo.php?workbook=14_06.xlsx&amp;sheet=A0&amp;row=241&amp;col=7&amp;number=0&amp;sourceID=14","0")</f>
        <v>0</v>
      </c>
    </row>
    <row r="242" spans="1:7">
      <c r="A242" s="3">
        <v>14</v>
      </c>
      <c r="B242" s="3">
        <v>6</v>
      </c>
      <c r="C242" s="3">
        <v>18</v>
      </c>
      <c r="D242" s="3">
        <v>15</v>
      </c>
      <c r="E242" s="3">
        <v>530.984</v>
      </c>
      <c r="F242" s="4" t="str">
        <f>HYPERLINK("http://141.218.60.56/~jnz1568/getInfo.php?workbook=14_06.xlsx&amp;sheet=A0&amp;row=242&amp;col=6&amp;number=1010000&amp;sourceID=14","1010000")</f>
        <v>1010000</v>
      </c>
      <c r="G242" s="4" t="str">
        <f>HYPERLINK("http://141.218.60.56/~jnz1568/getInfo.php?workbook=14_06.xlsx&amp;sheet=A0&amp;row=242&amp;col=7&amp;number=0&amp;sourceID=14","0")</f>
        <v>0</v>
      </c>
    </row>
    <row r="243" spans="1:7">
      <c r="A243" s="3">
        <v>14</v>
      </c>
      <c r="B243" s="3">
        <v>6</v>
      </c>
      <c r="C243" s="3">
        <v>19</v>
      </c>
      <c r="D243" s="3">
        <v>15</v>
      </c>
      <c r="E243" s="3">
        <v>441.005</v>
      </c>
      <c r="F243" s="4" t="str">
        <f>HYPERLINK("http://141.218.60.56/~jnz1568/getInfo.php?workbook=14_06.xlsx&amp;sheet=A0&amp;row=243&amp;col=6&amp;number=1420000000&amp;sourceID=14","1420000000")</f>
        <v>1420000000</v>
      </c>
      <c r="G243" s="4" t="str">
        <f>HYPERLINK("http://141.218.60.56/~jnz1568/getInfo.php?workbook=14_06.xlsx&amp;sheet=A0&amp;row=243&amp;col=7&amp;number=0&amp;sourceID=14","0")</f>
        <v>0</v>
      </c>
    </row>
    <row r="244" spans="1:7">
      <c r="A244" s="3">
        <v>14</v>
      </c>
      <c r="B244" s="3">
        <v>6</v>
      </c>
      <c r="C244" s="3">
        <v>20</v>
      </c>
      <c r="D244" s="3">
        <v>15</v>
      </c>
      <c r="E244" s="3">
        <v>305.846</v>
      </c>
      <c r="F244" s="4" t="str">
        <f>HYPERLINK("http://141.218.60.56/~jnz1568/getInfo.php?workbook=14_06.xlsx&amp;sheet=A0&amp;row=244&amp;col=6&amp;number=31400000000&amp;sourceID=14","31400000000")</f>
        <v>31400000000</v>
      </c>
      <c r="G244" s="4" t="str">
        <f>HYPERLINK("http://141.218.60.56/~jnz1568/getInfo.php?workbook=14_06.xlsx&amp;sheet=A0&amp;row=244&amp;col=7&amp;number=0&amp;sourceID=14","0")</f>
        <v>0</v>
      </c>
    </row>
    <row r="245" spans="1:7">
      <c r="A245" s="3">
        <v>14</v>
      </c>
      <c r="B245" s="3">
        <v>6</v>
      </c>
      <c r="C245" s="3">
        <v>25</v>
      </c>
      <c r="D245" s="3">
        <v>15</v>
      </c>
      <c r="E245" s="3">
        <v>-82.453</v>
      </c>
      <c r="F245" s="4" t="str">
        <f>HYPERLINK("http://141.218.60.56/~jnz1568/getInfo.php?workbook=14_06.xlsx&amp;sheet=A0&amp;row=245&amp;col=6&amp;number=3340000&amp;sourceID=14","3340000")</f>
        <v>3340000</v>
      </c>
      <c r="G245" s="4" t="str">
        <f>HYPERLINK("http://141.218.60.56/~jnz1568/getInfo.php?workbook=14_06.xlsx&amp;sheet=A0&amp;row=245&amp;col=7&amp;number=0&amp;sourceID=14","0")</f>
        <v>0</v>
      </c>
    </row>
    <row r="246" spans="1:7">
      <c r="A246" s="3">
        <v>14</v>
      </c>
      <c r="B246" s="3">
        <v>6</v>
      </c>
      <c r="C246" s="3">
        <v>26</v>
      </c>
      <c r="D246" s="3">
        <v>15</v>
      </c>
      <c r="E246" s="3">
        <v>-82.058</v>
      </c>
      <c r="F246" s="4" t="str">
        <f>HYPERLINK("http://141.218.60.56/~jnz1568/getInfo.php?workbook=14_06.xlsx&amp;sheet=A0&amp;row=246&amp;col=6&amp;number=324000&amp;sourceID=14","324000")</f>
        <v>324000</v>
      </c>
      <c r="G246" s="4" t="str">
        <f>HYPERLINK("http://141.218.60.56/~jnz1568/getInfo.php?workbook=14_06.xlsx&amp;sheet=A0&amp;row=246&amp;col=7&amp;number=0&amp;sourceID=14","0")</f>
        <v>0</v>
      </c>
    </row>
    <row r="247" spans="1:7">
      <c r="A247" s="3">
        <v>14</v>
      </c>
      <c r="B247" s="3">
        <v>6</v>
      </c>
      <c r="C247" s="3">
        <v>27</v>
      </c>
      <c r="D247" s="3">
        <v>15</v>
      </c>
      <c r="E247" s="3">
        <v>-81.97</v>
      </c>
      <c r="F247" s="4" t="str">
        <f>HYPERLINK("http://141.218.60.56/~jnz1568/getInfo.php?workbook=14_06.xlsx&amp;sheet=A0&amp;row=247&amp;col=6&amp;number=951000&amp;sourceID=14","951000")</f>
        <v>951000</v>
      </c>
      <c r="G247" s="4" t="str">
        <f>HYPERLINK("http://141.218.60.56/~jnz1568/getInfo.php?workbook=14_06.xlsx&amp;sheet=A0&amp;row=247&amp;col=7&amp;number=0&amp;sourceID=14","0")</f>
        <v>0</v>
      </c>
    </row>
    <row r="248" spans="1:7">
      <c r="A248" s="3">
        <v>14</v>
      </c>
      <c r="B248" s="3">
        <v>6</v>
      </c>
      <c r="C248" s="3">
        <v>29</v>
      </c>
      <c r="D248" s="3">
        <v>15</v>
      </c>
      <c r="E248" s="3">
        <v>-81.16</v>
      </c>
      <c r="F248" s="4" t="str">
        <f>HYPERLINK("http://141.218.60.56/~jnz1568/getInfo.php?workbook=14_06.xlsx&amp;sheet=A0&amp;row=248&amp;col=6&amp;number=40300&amp;sourceID=14","40300")</f>
        <v>40300</v>
      </c>
      <c r="G248" s="4" t="str">
        <f>HYPERLINK("http://141.218.60.56/~jnz1568/getInfo.php?workbook=14_06.xlsx&amp;sheet=A0&amp;row=248&amp;col=7&amp;number=0&amp;sourceID=14","0")</f>
        <v>0</v>
      </c>
    </row>
    <row r="249" spans="1:7">
      <c r="A249" s="3">
        <v>14</v>
      </c>
      <c r="B249" s="3">
        <v>6</v>
      </c>
      <c r="C249" s="3">
        <v>30</v>
      </c>
      <c r="D249" s="3">
        <v>15</v>
      </c>
      <c r="E249" s="3">
        <v>-80.258</v>
      </c>
      <c r="F249" s="4" t="str">
        <f>HYPERLINK("http://141.218.60.56/~jnz1568/getInfo.php?workbook=14_06.xlsx&amp;sheet=A0&amp;row=249&amp;col=6&amp;number=27500000&amp;sourceID=14","27500000")</f>
        <v>27500000</v>
      </c>
      <c r="G249" s="4" t="str">
        <f>HYPERLINK("http://141.218.60.56/~jnz1568/getInfo.php?workbook=14_06.xlsx&amp;sheet=A0&amp;row=249&amp;col=7&amp;number=0&amp;sourceID=14","0")</f>
        <v>0</v>
      </c>
    </row>
    <row r="250" spans="1:7">
      <c r="A250" s="3">
        <v>14</v>
      </c>
      <c r="B250" s="3">
        <v>6</v>
      </c>
      <c r="C250" s="3">
        <v>31</v>
      </c>
      <c r="D250" s="3">
        <v>15</v>
      </c>
      <c r="E250" s="3">
        <v>-80.13</v>
      </c>
      <c r="F250" s="4" t="str">
        <f>HYPERLINK("http://141.218.60.56/~jnz1568/getInfo.php?workbook=14_06.xlsx&amp;sheet=A0&amp;row=250&amp;col=6&amp;number=1800000&amp;sourceID=14","1800000")</f>
        <v>1800000</v>
      </c>
      <c r="G250" s="4" t="str">
        <f>HYPERLINK("http://141.218.60.56/~jnz1568/getInfo.php?workbook=14_06.xlsx&amp;sheet=A0&amp;row=250&amp;col=7&amp;number=0&amp;sourceID=14","0")</f>
        <v>0</v>
      </c>
    </row>
    <row r="251" spans="1:7">
      <c r="A251" s="3">
        <v>14</v>
      </c>
      <c r="B251" s="3">
        <v>6</v>
      </c>
      <c r="C251" s="3">
        <v>32</v>
      </c>
      <c r="D251" s="3">
        <v>15</v>
      </c>
      <c r="E251" s="3">
        <v>-79.985</v>
      </c>
      <c r="F251" s="4" t="str">
        <f>HYPERLINK("http://141.218.60.56/~jnz1568/getInfo.php?workbook=14_06.xlsx&amp;sheet=A0&amp;row=251&amp;col=6&amp;number=11700000&amp;sourceID=14","11700000")</f>
        <v>11700000</v>
      </c>
      <c r="G251" s="4" t="str">
        <f>HYPERLINK("http://141.218.60.56/~jnz1568/getInfo.php?workbook=14_06.xlsx&amp;sheet=A0&amp;row=251&amp;col=7&amp;number=0&amp;sourceID=14","0")</f>
        <v>0</v>
      </c>
    </row>
    <row r="252" spans="1:7">
      <c r="A252" s="3">
        <v>14</v>
      </c>
      <c r="B252" s="3">
        <v>6</v>
      </c>
      <c r="C252" s="3">
        <v>33</v>
      </c>
      <c r="D252" s="3">
        <v>15</v>
      </c>
      <c r="E252" s="3">
        <v>-78.913</v>
      </c>
      <c r="F252" s="4" t="str">
        <f>HYPERLINK("http://141.218.60.56/~jnz1568/getInfo.php?workbook=14_06.xlsx&amp;sheet=A0&amp;row=252&amp;col=6&amp;number=1340000000&amp;sourceID=14","1340000000")</f>
        <v>1340000000</v>
      </c>
      <c r="G252" s="4" t="str">
        <f>HYPERLINK("http://141.218.60.56/~jnz1568/getInfo.php?workbook=14_06.xlsx&amp;sheet=A0&amp;row=252&amp;col=7&amp;number=0&amp;sourceID=14","0")</f>
        <v>0</v>
      </c>
    </row>
    <row r="253" spans="1:7">
      <c r="A253" s="3">
        <v>14</v>
      </c>
      <c r="B253" s="3">
        <v>6</v>
      </c>
      <c r="C253" s="3">
        <v>34</v>
      </c>
      <c r="D253" s="3">
        <v>15</v>
      </c>
      <c r="E253" s="3">
        <v>-77.246</v>
      </c>
      <c r="F253" s="4" t="str">
        <f>HYPERLINK("http://141.218.60.56/~jnz1568/getInfo.php?workbook=14_06.xlsx&amp;sheet=A0&amp;row=253&amp;col=6&amp;number=7260000000&amp;sourceID=14","7260000000")</f>
        <v>7260000000</v>
      </c>
      <c r="G253" s="4" t="str">
        <f>HYPERLINK("http://141.218.60.56/~jnz1568/getInfo.php?workbook=14_06.xlsx&amp;sheet=A0&amp;row=253&amp;col=7&amp;number=0&amp;sourceID=14","0")</f>
        <v>0</v>
      </c>
    </row>
    <row r="254" spans="1:7">
      <c r="A254" s="3">
        <v>14</v>
      </c>
      <c r="B254" s="3">
        <v>6</v>
      </c>
      <c r="C254" s="3">
        <v>22</v>
      </c>
      <c r="D254" s="3">
        <v>16</v>
      </c>
      <c r="E254" s="3">
        <v>105.415</v>
      </c>
      <c r="F254" s="4" t="str">
        <f>HYPERLINK("http://141.218.60.56/~jnz1568/getInfo.php?workbook=14_06.xlsx&amp;sheet=A0&amp;row=254&amp;col=6&amp;number=173000000&amp;sourceID=14","173000000")</f>
        <v>173000000</v>
      </c>
      <c r="G254" s="4" t="str">
        <f>HYPERLINK("http://141.218.60.56/~jnz1568/getInfo.php?workbook=14_06.xlsx&amp;sheet=A0&amp;row=254&amp;col=7&amp;number=0&amp;sourceID=14","0")</f>
        <v>0</v>
      </c>
    </row>
    <row r="255" spans="1:7">
      <c r="A255" s="3">
        <v>14</v>
      </c>
      <c r="B255" s="3">
        <v>6</v>
      </c>
      <c r="C255" s="3">
        <v>23</v>
      </c>
      <c r="D255" s="3">
        <v>16</v>
      </c>
      <c r="E255" s="3">
        <v>104.85</v>
      </c>
      <c r="F255" s="4" t="str">
        <f>HYPERLINK("http://141.218.60.56/~jnz1568/getInfo.php?workbook=14_06.xlsx&amp;sheet=A0&amp;row=255&amp;col=6&amp;number=335000000&amp;sourceID=14","335000000")</f>
        <v>335000000</v>
      </c>
      <c r="G255" s="4" t="str">
        <f>HYPERLINK("http://141.218.60.56/~jnz1568/getInfo.php?workbook=14_06.xlsx&amp;sheet=A0&amp;row=255&amp;col=7&amp;number=0&amp;sourceID=14","0")</f>
        <v>0</v>
      </c>
    </row>
    <row r="256" spans="1:7">
      <c r="A256" s="3">
        <v>14</v>
      </c>
      <c r="B256" s="3">
        <v>6</v>
      </c>
      <c r="C256" s="3">
        <v>24</v>
      </c>
      <c r="D256" s="3">
        <v>16</v>
      </c>
      <c r="E256" s="3">
        <v>103.509</v>
      </c>
      <c r="F256" s="4" t="str">
        <f>HYPERLINK("http://141.218.60.56/~jnz1568/getInfo.php?workbook=14_06.xlsx&amp;sheet=A0&amp;row=256&amp;col=6&amp;number=19900000&amp;sourceID=14","19900000")</f>
        <v>19900000</v>
      </c>
      <c r="G256" s="4" t="str">
        <f>HYPERLINK("http://141.218.60.56/~jnz1568/getInfo.php?workbook=14_06.xlsx&amp;sheet=A0&amp;row=256&amp;col=7&amp;number=0&amp;sourceID=14","0")</f>
        <v>0</v>
      </c>
    </row>
    <row r="257" spans="1:7">
      <c r="A257" s="3">
        <v>14</v>
      </c>
      <c r="B257" s="3">
        <v>6</v>
      </c>
      <c r="C257" s="3">
        <v>26</v>
      </c>
      <c r="D257" s="3">
        <v>16</v>
      </c>
      <c r="E257" s="3">
        <v>-96.395</v>
      </c>
      <c r="F257" s="4" t="str">
        <f>HYPERLINK("http://141.218.60.56/~jnz1568/getInfo.php?workbook=14_06.xlsx&amp;sheet=A0&amp;row=257&amp;col=6&amp;number=5090&amp;sourceID=14","5090")</f>
        <v>5090</v>
      </c>
      <c r="G257" s="4" t="str">
        <f>HYPERLINK("http://141.218.60.56/~jnz1568/getInfo.php?workbook=14_06.xlsx&amp;sheet=A0&amp;row=257&amp;col=7&amp;number=0&amp;sourceID=14","0")</f>
        <v>0</v>
      </c>
    </row>
    <row r="258" spans="1:7">
      <c r="A258" s="3">
        <v>14</v>
      </c>
      <c r="B258" s="3">
        <v>6</v>
      </c>
      <c r="C258" s="3">
        <v>27</v>
      </c>
      <c r="D258" s="3">
        <v>16</v>
      </c>
      <c r="E258" s="3">
        <v>-96.273</v>
      </c>
      <c r="F258" s="4" t="str">
        <f>HYPERLINK("http://141.218.60.56/~jnz1568/getInfo.php?workbook=14_06.xlsx&amp;sheet=A0&amp;row=258&amp;col=6&amp;number=13600&amp;sourceID=14","13600")</f>
        <v>13600</v>
      </c>
      <c r="G258" s="4" t="str">
        <f>HYPERLINK("http://141.218.60.56/~jnz1568/getInfo.php?workbook=14_06.xlsx&amp;sheet=A0&amp;row=258&amp;col=7&amp;number=0&amp;sourceID=14","0")</f>
        <v>0</v>
      </c>
    </row>
    <row r="259" spans="1:7">
      <c r="A259" s="3">
        <v>14</v>
      </c>
      <c r="B259" s="3">
        <v>6</v>
      </c>
      <c r="C259" s="3">
        <v>28</v>
      </c>
      <c r="D259" s="3">
        <v>16</v>
      </c>
      <c r="E259" s="3">
        <v>-95.875</v>
      </c>
      <c r="F259" s="4" t="str">
        <f>HYPERLINK("http://141.218.60.56/~jnz1568/getInfo.php?workbook=14_06.xlsx&amp;sheet=A0&amp;row=259&amp;col=6&amp;number=16800&amp;sourceID=14","16800")</f>
        <v>16800</v>
      </c>
      <c r="G259" s="4" t="str">
        <f>HYPERLINK("http://141.218.60.56/~jnz1568/getInfo.php?workbook=14_06.xlsx&amp;sheet=A0&amp;row=259&amp;col=7&amp;number=0&amp;sourceID=14","0")</f>
        <v>0</v>
      </c>
    </row>
    <row r="260" spans="1:7">
      <c r="A260" s="3">
        <v>14</v>
      </c>
      <c r="B260" s="3">
        <v>6</v>
      </c>
      <c r="C260" s="3">
        <v>30</v>
      </c>
      <c r="D260" s="3">
        <v>16</v>
      </c>
      <c r="E260" s="3">
        <v>-93.92</v>
      </c>
      <c r="F260" s="4" t="str">
        <f>HYPERLINK("http://141.218.60.56/~jnz1568/getInfo.php?workbook=14_06.xlsx&amp;sheet=A0&amp;row=260&amp;col=6&amp;number=14300&amp;sourceID=14","14300")</f>
        <v>14300</v>
      </c>
      <c r="G260" s="4" t="str">
        <f>HYPERLINK("http://141.218.60.56/~jnz1568/getInfo.php?workbook=14_06.xlsx&amp;sheet=A0&amp;row=260&amp;col=7&amp;number=0&amp;sourceID=14","0")</f>
        <v>0</v>
      </c>
    </row>
    <row r="261" spans="1:7">
      <c r="A261" s="3">
        <v>14</v>
      </c>
      <c r="B261" s="3">
        <v>6</v>
      </c>
      <c r="C261" s="3">
        <v>31</v>
      </c>
      <c r="D261" s="3">
        <v>16</v>
      </c>
      <c r="E261" s="3">
        <v>-93.745</v>
      </c>
      <c r="F261" s="4" t="str">
        <f>HYPERLINK("http://141.218.60.56/~jnz1568/getInfo.php?workbook=14_06.xlsx&amp;sheet=A0&amp;row=261&amp;col=6&amp;number=11600&amp;sourceID=14","11600")</f>
        <v>11600</v>
      </c>
      <c r="G261" s="4" t="str">
        <f>HYPERLINK("http://141.218.60.56/~jnz1568/getInfo.php?workbook=14_06.xlsx&amp;sheet=A0&amp;row=261&amp;col=7&amp;number=0&amp;sourceID=14","0")</f>
        <v>0</v>
      </c>
    </row>
    <row r="262" spans="1:7">
      <c r="A262" s="3">
        <v>14</v>
      </c>
      <c r="B262" s="3">
        <v>6</v>
      </c>
      <c r="C262" s="3">
        <v>32</v>
      </c>
      <c r="D262" s="3">
        <v>16</v>
      </c>
      <c r="E262" s="3">
        <v>-93.547</v>
      </c>
      <c r="F262" s="4" t="str">
        <f>HYPERLINK("http://141.218.60.56/~jnz1568/getInfo.php?workbook=14_06.xlsx&amp;sheet=A0&amp;row=262&amp;col=6&amp;number=6270&amp;sourceID=14","6270")</f>
        <v>6270</v>
      </c>
      <c r="G262" s="4" t="str">
        <f>HYPERLINK("http://141.218.60.56/~jnz1568/getInfo.php?workbook=14_06.xlsx&amp;sheet=A0&amp;row=262&amp;col=7&amp;number=0&amp;sourceID=14","0")</f>
        <v>0</v>
      </c>
    </row>
    <row r="263" spans="1:7">
      <c r="A263" s="3">
        <v>14</v>
      </c>
      <c r="B263" s="3">
        <v>6</v>
      </c>
      <c r="C263" s="3">
        <v>35</v>
      </c>
      <c r="D263" s="3">
        <v>16</v>
      </c>
      <c r="E263" s="3">
        <v>-89.006</v>
      </c>
      <c r="F263" s="4" t="str">
        <f>HYPERLINK("http://141.218.60.56/~jnz1568/getInfo.php?workbook=14_06.xlsx&amp;sheet=A0&amp;row=263&amp;col=6&amp;number=930000&amp;sourceID=14","930000")</f>
        <v>930000</v>
      </c>
      <c r="G263" s="4" t="str">
        <f>HYPERLINK("http://141.218.60.56/~jnz1568/getInfo.php?workbook=14_06.xlsx&amp;sheet=A0&amp;row=263&amp;col=7&amp;number=0&amp;sourceID=14","0")</f>
        <v>0</v>
      </c>
    </row>
    <row r="264" spans="1:7">
      <c r="A264" s="3">
        <v>14</v>
      </c>
      <c r="B264" s="3">
        <v>6</v>
      </c>
      <c r="C264" s="3">
        <v>36</v>
      </c>
      <c r="D264" s="3">
        <v>16</v>
      </c>
      <c r="E264" s="3">
        <v>-88.754</v>
      </c>
      <c r="F264" s="4" t="str">
        <f>HYPERLINK("http://141.218.60.56/~jnz1568/getInfo.php?workbook=14_06.xlsx&amp;sheet=A0&amp;row=264&amp;col=6&amp;number=57000000&amp;sourceID=14","57000000")</f>
        <v>57000000</v>
      </c>
      <c r="G264" s="4" t="str">
        <f>HYPERLINK("http://141.218.60.56/~jnz1568/getInfo.php?workbook=14_06.xlsx&amp;sheet=A0&amp;row=264&amp;col=7&amp;number=0&amp;sourceID=14","0")</f>
        <v>0</v>
      </c>
    </row>
    <row r="265" spans="1:7">
      <c r="A265" s="3">
        <v>14</v>
      </c>
      <c r="B265" s="3">
        <v>6</v>
      </c>
      <c r="C265" s="3">
        <v>37</v>
      </c>
      <c r="D265" s="3">
        <v>16</v>
      </c>
      <c r="E265" s="3">
        <v>89.342</v>
      </c>
      <c r="F265" s="4" t="str">
        <f>HYPERLINK("http://141.218.60.56/~jnz1568/getInfo.php?workbook=14_06.xlsx&amp;sheet=A0&amp;row=265&amp;col=6&amp;number=20900000&amp;sourceID=14","20900000")</f>
        <v>20900000</v>
      </c>
      <c r="G265" s="4" t="str">
        <f>HYPERLINK("http://141.218.60.56/~jnz1568/getInfo.php?workbook=14_06.xlsx&amp;sheet=A0&amp;row=265&amp;col=7&amp;number=0&amp;sourceID=14","0")</f>
        <v>0</v>
      </c>
    </row>
    <row r="266" spans="1:7">
      <c r="A266" s="3">
        <v>14</v>
      </c>
      <c r="B266" s="3">
        <v>6</v>
      </c>
      <c r="C266" s="3">
        <v>39</v>
      </c>
      <c r="D266" s="3">
        <v>16</v>
      </c>
      <c r="E266" s="3">
        <v>88.23</v>
      </c>
      <c r="F266" s="4" t="str">
        <f>HYPERLINK("http://141.218.60.56/~jnz1568/getInfo.php?workbook=14_06.xlsx&amp;sheet=A0&amp;row=266&amp;col=6&amp;number=43600000&amp;sourceID=14","43600000")</f>
        <v>43600000</v>
      </c>
      <c r="G266" s="4" t="str">
        <f>HYPERLINK("http://141.218.60.56/~jnz1568/getInfo.php?workbook=14_06.xlsx&amp;sheet=A0&amp;row=266&amp;col=7&amp;number=0&amp;sourceID=14","0")</f>
        <v>0</v>
      </c>
    </row>
    <row r="267" spans="1:7">
      <c r="A267" s="3">
        <v>14</v>
      </c>
      <c r="B267" s="3">
        <v>6</v>
      </c>
      <c r="C267" s="3">
        <v>40</v>
      </c>
      <c r="D267" s="3">
        <v>16</v>
      </c>
      <c r="E267" s="3">
        <v>88.161</v>
      </c>
      <c r="F267" s="4" t="str">
        <f>HYPERLINK("http://141.218.60.56/~jnz1568/getInfo.php?workbook=14_06.xlsx&amp;sheet=A0&amp;row=267&amp;col=6&amp;number=444000000&amp;sourceID=14","444000000")</f>
        <v>444000000</v>
      </c>
      <c r="G267" s="4" t="str">
        <f>HYPERLINK("http://141.218.60.56/~jnz1568/getInfo.php?workbook=14_06.xlsx&amp;sheet=A0&amp;row=267&amp;col=7&amp;number=0&amp;sourceID=14","0")</f>
        <v>0</v>
      </c>
    </row>
    <row r="268" spans="1:7">
      <c r="A268" s="3">
        <v>14</v>
      </c>
      <c r="B268" s="3">
        <v>6</v>
      </c>
      <c r="C268" s="3">
        <v>41</v>
      </c>
      <c r="D268" s="3">
        <v>16</v>
      </c>
      <c r="E268" s="3">
        <v>87.976</v>
      </c>
      <c r="F268" s="4" t="str">
        <f>HYPERLINK("http://141.218.60.56/~jnz1568/getInfo.php?workbook=14_06.xlsx&amp;sheet=A0&amp;row=268&amp;col=6&amp;number=5890000000&amp;sourceID=14","5890000000")</f>
        <v>5890000000</v>
      </c>
      <c r="G268" s="4" t="str">
        <f>HYPERLINK("http://141.218.60.56/~jnz1568/getInfo.php?workbook=14_06.xlsx&amp;sheet=A0&amp;row=268&amp;col=7&amp;number=0&amp;sourceID=14","0")</f>
        <v>0</v>
      </c>
    </row>
    <row r="269" spans="1:7">
      <c r="A269" s="3">
        <v>14</v>
      </c>
      <c r="B269" s="3">
        <v>6</v>
      </c>
      <c r="C269" s="3">
        <v>42</v>
      </c>
      <c r="D269" s="3">
        <v>16</v>
      </c>
      <c r="E269" s="3">
        <v>87.65</v>
      </c>
      <c r="F269" s="4" t="str">
        <f>HYPERLINK("http://141.218.60.56/~jnz1568/getInfo.php?workbook=14_06.xlsx&amp;sheet=A0&amp;row=269&amp;col=6&amp;number=1900000000&amp;sourceID=14","1900000000")</f>
        <v>1900000000</v>
      </c>
      <c r="G269" s="4" t="str">
        <f>HYPERLINK("http://141.218.60.56/~jnz1568/getInfo.php?workbook=14_06.xlsx&amp;sheet=A0&amp;row=269&amp;col=7&amp;number=0&amp;sourceID=14","0")</f>
        <v>0</v>
      </c>
    </row>
    <row r="270" spans="1:7">
      <c r="A270" s="3">
        <v>14</v>
      </c>
      <c r="B270" s="3">
        <v>6</v>
      </c>
      <c r="C270" s="3">
        <v>43</v>
      </c>
      <c r="D270" s="3">
        <v>16</v>
      </c>
      <c r="E270" s="3">
        <v>87.554</v>
      </c>
      <c r="F270" s="4" t="str">
        <f>HYPERLINK("http://141.218.60.56/~jnz1568/getInfo.php?workbook=14_06.xlsx&amp;sheet=A0&amp;row=270&amp;col=6&amp;number=590000000&amp;sourceID=14","590000000")</f>
        <v>590000000</v>
      </c>
      <c r="G270" s="4" t="str">
        <f>HYPERLINK("http://141.218.60.56/~jnz1568/getInfo.php?workbook=14_06.xlsx&amp;sheet=A0&amp;row=270&amp;col=7&amp;number=0&amp;sourceID=14","0")</f>
        <v>0</v>
      </c>
    </row>
    <row r="271" spans="1:7">
      <c r="A271" s="3">
        <v>14</v>
      </c>
      <c r="B271" s="3">
        <v>6</v>
      </c>
      <c r="C271" s="3">
        <v>45</v>
      </c>
      <c r="D271" s="3">
        <v>16</v>
      </c>
      <c r="E271" s="3">
        <v>85.925</v>
      </c>
      <c r="F271" s="4" t="str">
        <f>HYPERLINK("http://141.218.60.56/~jnz1568/getInfo.php?workbook=14_06.xlsx&amp;sheet=A0&amp;row=271&amp;col=6&amp;number=3660000&amp;sourceID=14","3660000")</f>
        <v>3660000</v>
      </c>
      <c r="G271" s="4" t="str">
        <f>HYPERLINK("http://141.218.60.56/~jnz1568/getInfo.php?workbook=14_06.xlsx&amp;sheet=A0&amp;row=271&amp;col=7&amp;number=0&amp;sourceID=14","0")</f>
        <v>0</v>
      </c>
    </row>
    <row r="272" spans="1:7">
      <c r="A272" s="3">
        <v>14</v>
      </c>
      <c r="B272" s="3">
        <v>6</v>
      </c>
      <c r="C272" s="3">
        <v>46</v>
      </c>
      <c r="D272" s="3">
        <v>16</v>
      </c>
      <c r="E272" s="3">
        <v>85.983</v>
      </c>
      <c r="F272" s="4" t="str">
        <f>HYPERLINK("http://141.218.60.56/~jnz1568/getInfo.php?workbook=14_06.xlsx&amp;sheet=A0&amp;row=272&amp;col=6&amp;number=97700000&amp;sourceID=14","97700000")</f>
        <v>97700000</v>
      </c>
      <c r="G272" s="4" t="str">
        <f>HYPERLINK("http://141.218.60.56/~jnz1568/getInfo.php?workbook=14_06.xlsx&amp;sheet=A0&amp;row=272&amp;col=7&amp;number=0&amp;sourceID=14","0")</f>
        <v>0</v>
      </c>
    </row>
    <row r="273" spans="1:7">
      <c r="A273" s="3">
        <v>14</v>
      </c>
      <c r="B273" s="3">
        <v>6</v>
      </c>
      <c r="C273" s="3">
        <v>21</v>
      </c>
      <c r="D273" s="3">
        <v>17</v>
      </c>
      <c r="E273" s="3">
        <v>-104.893</v>
      </c>
      <c r="F273" s="4" t="str">
        <f>HYPERLINK("http://141.218.60.56/~jnz1568/getInfo.php?workbook=14_06.xlsx&amp;sheet=A0&amp;row=273&amp;col=6&amp;number=429000000&amp;sourceID=14","429000000")</f>
        <v>429000000</v>
      </c>
      <c r="G273" s="4" t="str">
        <f>HYPERLINK("http://141.218.60.56/~jnz1568/getInfo.php?workbook=14_06.xlsx&amp;sheet=A0&amp;row=273&amp;col=7&amp;number=0&amp;sourceID=14","0")</f>
        <v>0</v>
      </c>
    </row>
    <row r="274" spans="1:7">
      <c r="A274" s="3">
        <v>14</v>
      </c>
      <c r="B274" s="3">
        <v>6</v>
      </c>
      <c r="C274" s="3">
        <v>22</v>
      </c>
      <c r="D274" s="3">
        <v>17</v>
      </c>
      <c r="E274" s="3">
        <v>105.924</v>
      </c>
      <c r="F274" s="4" t="str">
        <f>HYPERLINK("http://141.218.60.56/~jnz1568/getInfo.php?workbook=14_06.xlsx&amp;sheet=A0&amp;row=274&amp;col=6&amp;number=103000000&amp;sourceID=14","103000000")</f>
        <v>103000000</v>
      </c>
      <c r="G274" s="4" t="str">
        <f>HYPERLINK("http://141.218.60.56/~jnz1568/getInfo.php?workbook=14_06.xlsx&amp;sheet=A0&amp;row=274&amp;col=7&amp;number=0&amp;sourceID=14","0")</f>
        <v>0</v>
      </c>
    </row>
    <row r="275" spans="1:7">
      <c r="A275" s="3">
        <v>14</v>
      </c>
      <c r="B275" s="3">
        <v>6</v>
      </c>
      <c r="C275" s="3">
        <v>23</v>
      </c>
      <c r="D275" s="3">
        <v>17</v>
      </c>
      <c r="E275" s="3">
        <v>105.352</v>
      </c>
      <c r="F275" s="4" t="str">
        <f>HYPERLINK("http://141.218.60.56/~jnz1568/getInfo.php?workbook=14_06.xlsx&amp;sheet=A0&amp;row=275&amp;col=6&amp;number=106000000&amp;sourceID=14","106000000")</f>
        <v>106000000</v>
      </c>
      <c r="G275" s="4" t="str">
        <f>HYPERLINK("http://141.218.60.56/~jnz1568/getInfo.php?workbook=14_06.xlsx&amp;sheet=A0&amp;row=275&amp;col=7&amp;number=0&amp;sourceID=14","0")</f>
        <v>0</v>
      </c>
    </row>
    <row r="276" spans="1:7">
      <c r="A276" s="3">
        <v>14</v>
      </c>
      <c r="B276" s="3">
        <v>6</v>
      </c>
      <c r="C276" s="3">
        <v>24</v>
      </c>
      <c r="D276" s="3">
        <v>17</v>
      </c>
      <c r="E276" s="3">
        <v>103.999</v>
      </c>
      <c r="F276" s="4" t="str">
        <f>HYPERLINK("http://141.218.60.56/~jnz1568/getInfo.php?workbook=14_06.xlsx&amp;sheet=A0&amp;row=276&amp;col=6&amp;number=3180000&amp;sourceID=14","3180000")</f>
        <v>3180000</v>
      </c>
      <c r="G276" s="4" t="str">
        <f>HYPERLINK("http://141.218.60.56/~jnz1568/getInfo.php?workbook=14_06.xlsx&amp;sheet=A0&amp;row=276&amp;col=7&amp;number=0&amp;sourceID=14","0")</f>
        <v>0</v>
      </c>
    </row>
    <row r="277" spans="1:7">
      <c r="A277" s="3">
        <v>14</v>
      </c>
      <c r="B277" s="3">
        <v>6</v>
      </c>
      <c r="C277" s="3">
        <v>25</v>
      </c>
      <c r="D277" s="3">
        <v>17</v>
      </c>
      <c r="E277" s="3">
        <v>-97.366</v>
      </c>
      <c r="F277" s="4" t="str">
        <f>HYPERLINK("http://141.218.60.56/~jnz1568/getInfo.php?workbook=14_06.xlsx&amp;sheet=A0&amp;row=277&amp;col=6&amp;number=3880&amp;sourceID=14","3880")</f>
        <v>3880</v>
      </c>
      <c r="G277" s="4" t="str">
        <f>HYPERLINK("http://141.218.60.56/~jnz1568/getInfo.php?workbook=14_06.xlsx&amp;sheet=A0&amp;row=277&amp;col=7&amp;number=0&amp;sourceID=14","0")</f>
        <v>0</v>
      </c>
    </row>
    <row r="278" spans="1:7">
      <c r="A278" s="3">
        <v>14</v>
      </c>
      <c r="B278" s="3">
        <v>6</v>
      </c>
      <c r="C278" s="3">
        <v>26</v>
      </c>
      <c r="D278" s="3">
        <v>17</v>
      </c>
      <c r="E278" s="3">
        <v>-96.817</v>
      </c>
      <c r="F278" s="4" t="str">
        <f>HYPERLINK("http://141.218.60.56/~jnz1568/getInfo.php?workbook=14_06.xlsx&amp;sheet=A0&amp;row=278&amp;col=6&amp;number=14500&amp;sourceID=14","14500")</f>
        <v>14500</v>
      </c>
      <c r="G278" s="4" t="str">
        <f>HYPERLINK("http://141.218.60.56/~jnz1568/getInfo.php?workbook=14_06.xlsx&amp;sheet=A0&amp;row=278&amp;col=7&amp;number=0&amp;sourceID=14","0")</f>
        <v>0</v>
      </c>
    </row>
    <row r="279" spans="1:7">
      <c r="A279" s="3">
        <v>14</v>
      </c>
      <c r="B279" s="3">
        <v>6</v>
      </c>
      <c r="C279" s="3">
        <v>28</v>
      </c>
      <c r="D279" s="3">
        <v>17</v>
      </c>
      <c r="E279" s="3">
        <v>-96.292</v>
      </c>
      <c r="F279" s="4" t="str">
        <f>HYPERLINK("http://141.218.60.56/~jnz1568/getInfo.php?workbook=14_06.xlsx&amp;sheet=A0&amp;row=279&amp;col=6&amp;number=7700&amp;sourceID=14","7700")</f>
        <v>7700</v>
      </c>
      <c r="G279" s="4" t="str">
        <f>HYPERLINK("http://141.218.60.56/~jnz1568/getInfo.php?workbook=14_06.xlsx&amp;sheet=A0&amp;row=279&amp;col=7&amp;number=0&amp;sourceID=14","0")</f>
        <v>0</v>
      </c>
    </row>
    <row r="280" spans="1:7">
      <c r="A280" s="3">
        <v>14</v>
      </c>
      <c r="B280" s="3">
        <v>6</v>
      </c>
      <c r="C280" s="3">
        <v>32</v>
      </c>
      <c r="D280" s="3">
        <v>17</v>
      </c>
      <c r="E280" s="3">
        <v>-93.944</v>
      </c>
      <c r="F280" s="4" t="str">
        <f>HYPERLINK("http://141.218.60.56/~jnz1568/getInfo.php?workbook=14_06.xlsx&amp;sheet=A0&amp;row=280&amp;col=6&amp;number=5640&amp;sourceID=14","5640")</f>
        <v>5640</v>
      </c>
      <c r="G280" s="4" t="str">
        <f>HYPERLINK("http://141.218.60.56/~jnz1568/getInfo.php?workbook=14_06.xlsx&amp;sheet=A0&amp;row=280&amp;col=7&amp;number=0&amp;sourceID=14","0")</f>
        <v>0</v>
      </c>
    </row>
    <row r="281" spans="1:7">
      <c r="A281" s="3">
        <v>14</v>
      </c>
      <c r="B281" s="3">
        <v>6</v>
      </c>
      <c r="C281" s="3">
        <v>35</v>
      </c>
      <c r="D281" s="3">
        <v>17</v>
      </c>
      <c r="E281" s="3">
        <v>-89.365</v>
      </c>
      <c r="F281" s="4" t="str">
        <f>HYPERLINK("http://141.218.60.56/~jnz1568/getInfo.php?workbook=14_06.xlsx&amp;sheet=A0&amp;row=281&amp;col=6&amp;number=7850000&amp;sourceID=14","7850000")</f>
        <v>7850000</v>
      </c>
      <c r="G281" s="4" t="str">
        <f>HYPERLINK("http://141.218.60.56/~jnz1568/getInfo.php?workbook=14_06.xlsx&amp;sheet=A0&amp;row=281&amp;col=7&amp;number=0&amp;sourceID=14","0")</f>
        <v>0</v>
      </c>
    </row>
    <row r="282" spans="1:7">
      <c r="A282" s="3">
        <v>14</v>
      </c>
      <c r="B282" s="3">
        <v>6</v>
      </c>
      <c r="C282" s="3">
        <v>37</v>
      </c>
      <c r="D282" s="3">
        <v>17</v>
      </c>
      <c r="E282" s="3">
        <v>89.707</v>
      </c>
      <c r="F282" s="4" t="str">
        <f>HYPERLINK("http://141.218.60.56/~jnz1568/getInfo.php?workbook=14_06.xlsx&amp;sheet=A0&amp;row=282&amp;col=6&amp;number=64400000&amp;sourceID=14","64400000")</f>
        <v>64400000</v>
      </c>
      <c r="G282" s="4" t="str">
        <f>HYPERLINK("http://141.218.60.56/~jnz1568/getInfo.php?workbook=14_06.xlsx&amp;sheet=A0&amp;row=282&amp;col=7&amp;number=0&amp;sourceID=14","0")</f>
        <v>0</v>
      </c>
    </row>
    <row r="283" spans="1:7">
      <c r="A283" s="3">
        <v>14</v>
      </c>
      <c r="B283" s="3">
        <v>6</v>
      </c>
      <c r="C283" s="3">
        <v>39</v>
      </c>
      <c r="D283" s="3">
        <v>17</v>
      </c>
      <c r="E283" s="3">
        <v>88.585</v>
      </c>
      <c r="F283" s="4" t="str">
        <f>HYPERLINK("http://141.218.60.56/~jnz1568/getInfo.php?workbook=14_06.xlsx&amp;sheet=A0&amp;row=283&amp;col=6&amp;number=1810000000&amp;sourceID=14","1810000000")</f>
        <v>1810000000</v>
      </c>
      <c r="G283" s="4" t="str">
        <f>HYPERLINK("http://141.218.60.56/~jnz1568/getInfo.php?workbook=14_06.xlsx&amp;sheet=A0&amp;row=283&amp;col=7&amp;number=0&amp;sourceID=14","0")</f>
        <v>0</v>
      </c>
    </row>
    <row r="284" spans="1:7">
      <c r="A284" s="3">
        <v>14</v>
      </c>
      <c r="B284" s="3">
        <v>6</v>
      </c>
      <c r="C284" s="3">
        <v>40</v>
      </c>
      <c r="D284" s="3">
        <v>17</v>
      </c>
      <c r="E284" s="3">
        <v>88.516</v>
      </c>
      <c r="F284" s="4" t="str">
        <f>HYPERLINK("http://141.218.60.56/~jnz1568/getInfo.php?workbook=14_06.xlsx&amp;sheet=A0&amp;row=284&amp;col=6&amp;number=4300000000&amp;sourceID=14","4300000000")</f>
        <v>4300000000</v>
      </c>
      <c r="G284" s="4" t="str">
        <f>HYPERLINK("http://141.218.60.56/~jnz1568/getInfo.php?workbook=14_06.xlsx&amp;sheet=A0&amp;row=284&amp;col=7&amp;number=0&amp;sourceID=14","0")</f>
        <v>0</v>
      </c>
    </row>
    <row r="285" spans="1:7">
      <c r="A285" s="3">
        <v>14</v>
      </c>
      <c r="B285" s="3">
        <v>6</v>
      </c>
      <c r="C285" s="3">
        <v>42</v>
      </c>
      <c r="D285" s="3">
        <v>17</v>
      </c>
      <c r="E285" s="3">
        <v>88.001</v>
      </c>
      <c r="F285" s="4" t="str">
        <f>HYPERLINK("http://141.218.60.56/~jnz1568/getInfo.php?workbook=14_06.xlsx&amp;sheet=A0&amp;row=285&amp;col=6&amp;number=231000000&amp;sourceID=14","231000000")</f>
        <v>231000000</v>
      </c>
      <c r="G285" s="4" t="str">
        <f>HYPERLINK("http://141.218.60.56/~jnz1568/getInfo.php?workbook=14_06.xlsx&amp;sheet=A0&amp;row=285&amp;col=7&amp;number=0&amp;sourceID=14","0")</f>
        <v>0</v>
      </c>
    </row>
    <row r="286" spans="1:7">
      <c r="A286" s="3">
        <v>14</v>
      </c>
      <c r="B286" s="3">
        <v>6</v>
      </c>
      <c r="C286" s="3">
        <v>43</v>
      </c>
      <c r="D286" s="3">
        <v>17</v>
      </c>
      <c r="E286" s="3">
        <v>87.905</v>
      </c>
      <c r="F286" s="4" t="str">
        <f>HYPERLINK("http://141.218.60.56/~jnz1568/getInfo.php?workbook=14_06.xlsx&amp;sheet=A0&amp;row=286&amp;col=6&amp;number=852000000&amp;sourceID=14","852000000")</f>
        <v>852000000</v>
      </c>
      <c r="G286" s="4" t="str">
        <f>HYPERLINK("http://141.218.60.56/~jnz1568/getInfo.php?workbook=14_06.xlsx&amp;sheet=A0&amp;row=286&amp;col=7&amp;number=0&amp;sourceID=14","0")</f>
        <v>0</v>
      </c>
    </row>
    <row r="287" spans="1:7">
      <c r="A287" s="3">
        <v>14</v>
      </c>
      <c r="B287" s="3">
        <v>6</v>
      </c>
      <c r="C287" s="3">
        <v>44</v>
      </c>
      <c r="D287" s="3">
        <v>17</v>
      </c>
      <c r="E287" s="3">
        <v>87.848</v>
      </c>
      <c r="F287" s="4" t="str">
        <f>HYPERLINK("http://141.218.60.56/~jnz1568/getInfo.php?workbook=14_06.xlsx&amp;sheet=A0&amp;row=287&amp;col=6&amp;number=1050000000&amp;sourceID=14","1050000000")</f>
        <v>1050000000</v>
      </c>
      <c r="G287" s="4" t="str">
        <f>HYPERLINK("http://141.218.60.56/~jnz1568/getInfo.php?workbook=14_06.xlsx&amp;sheet=A0&amp;row=287&amp;col=7&amp;number=0&amp;sourceID=14","0")</f>
        <v>0</v>
      </c>
    </row>
    <row r="288" spans="1:7">
      <c r="A288" s="3">
        <v>14</v>
      </c>
      <c r="B288" s="3">
        <v>6</v>
      </c>
      <c r="C288" s="3">
        <v>45</v>
      </c>
      <c r="D288" s="3">
        <v>17</v>
      </c>
      <c r="E288" s="3">
        <v>86.262</v>
      </c>
      <c r="F288" s="4" t="str">
        <f>HYPERLINK("http://141.218.60.56/~jnz1568/getInfo.php?workbook=14_06.xlsx&amp;sheet=A0&amp;row=288&amp;col=6&amp;number=10100000&amp;sourceID=14","10100000")</f>
        <v>10100000</v>
      </c>
      <c r="G288" s="4" t="str">
        <f>HYPERLINK("http://141.218.60.56/~jnz1568/getInfo.php?workbook=14_06.xlsx&amp;sheet=A0&amp;row=288&amp;col=7&amp;number=0&amp;sourceID=14","0")</f>
        <v>0</v>
      </c>
    </row>
    <row r="289" spans="1:7">
      <c r="A289" s="3">
        <v>14</v>
      </c>
      <c r="B289" s="3">
        <v>6</v>
      </c>
      <c r="C289" s="3">
        <v>22</v>
      </c>
      <c r="D289" s="3">
        <v>18</v>
      </c>
      <c r="E289" s="3">
        <v>106.124</v>
      </c>
      <c r="F289" s="4" t="str">
        <f>HYPERLINK("http://141.218.60.56/~jnz1568/getInfo.php?workbook=14_06.xlsx&amp;sheet=A0&amp;row=289&amp;col=6&amp;number=138000000&amp;sourceID=14","138000000")</f>
        <v>138000000</v>
      </c>
      <c r="G289" s="4" t="str">
        <f>HYPERLINK("http://141.218.60.56/~jnz1568/getInfo.php?workbook=14_06.xlsx&amp;sheet=A0&amp;row=289&amp;col=7&amp;number=0&amp;sourceID=14","0")</f>
        <v>0</v>
      </c>
    </row>
    <row r="290" spans="1:7">
      <c r="A290" s="3">
        <v>14</v>
      </c>
      <c r="B290" s="3">
        <v>6</v>
      </c>
      <c r="C290" s="3">
        <v>24</v>
      </c>
      <c r="D290" s="3">
        <v>18</v>
      </c>
      <c r="E290" s="3">
        <v>104.192</v>
      </c>
      <c r="F290" s="4" t="str">
        <f>HYPERLINK("http://141.218.60.56/~jnz1568/getInfo.php?workbook=14_06.xlsx&amp;sheet=A0&amp;row=290&amp;col=6&amp;number=947000&amp;sourceID=14","947000")</f>
        <v>947000</v>
      </c>
      <c r="G290" s="4" t="str">
        <f>HYPERLINK("http://141.218.60.56/~jnz1568/getInfo.php?workbook=14_06.xlsx&amp;sheet=A0&amp;row=290&amp;col=7&amp;number=0&amp;sourceID=14","0")</f>
        <v>0</v>
      </c>
    </row>
    <row r="291" spans="1:7">
      <c r="A291" s="3">
        <v>14</v>
      </c>
      <c r="B291" s="3">
        <v>6</v>
      </c>
      <c r="C291" s="3">
        <v>27</v>
      </c>
      <c r="D291" s="3">
        <v>18</v>
      </c>
      <c r="E291" s="3">
        <v>-96.872</v>
      </c>
      <c r="F291" s="4" t="str">
        <f>HYPERLINK("http://141.218.60.56/~jnz1568/getInfo.php?workbook=14_06.xlsx&amp;sheet=A0&amp;row=291&amp;col=6&amp;number=7980&amp;sourceID=14","7980")</f>
        <v>7980</v>
      </c>
      <c r="G291" s="4" t="str">
        <f>HYPERLINK("http://141.218.60.56/~jnz1568/getInfo.php?workbook=14_06.xlsx&amp;sheet=A0&amp;row=291&amp;col=7&amp;number=0&amp;sourceID=14","0")</f>
        <v>0</v>
      </c>
    </row>
    <row r="292" spans="1:7">
      <c r="A292" s="3">
        <v>14</v>
      </c>
      <c r="B292" s="3">
        <v>6</v>
      </c>
      <c r="C292" s="3">
        <v>39</v>
      </c>
      <c r="D292" s="3">
        <v>18</v>
      </c>
      <c r="E292" s="3">
        <v>88.725</v>
      </c>
      <c r="F292" s="4" t="str">
        <f>HYPERLINK("http://141.218.60.56/~jnz1568/getInfo.php?workbook=14_06.xlsx&amp;sheet=A0&amp;row=292&amp;col=6&amp;number=3500000000&amp;sourceID=14","3500000000")</f>
        <v>3500000000</v>
      </c>
      <c r="G292" s="4" t="str">
        <f>HYPERLINK("http://141.218.60.56/~jnz1568/getInfo.php?workbook=14_06.xlsx&amp;sheet=A0&amp;row=292&amp;col=7&amp;number=0&amp;sourceID=14","0")</f>
        <v>0</v>
      </c>
    </row>
    <row r="293" spans="1:7">
      <c r="A293" s="3">
        <v>14</v>
      </c>
      <c r="B293" s="3">
        <v>6</v>
      </c>
      <c r="C293" s="3">
        <v>43</v>
      </c>
      <c r="D293" s="3">
        <v>18</v>
      </c>
      <c r="E293" s="3">
        <v>88.043</v>
      </c>
      <c r="F293" s="4" t="str">
        <f>HYPERLINK("http://141.218.60.56/~jnz1568/getInfo.php?workbook=14_06.xlsx&amp;sheet=A0&amp;row=293&amp;col=6&amp;number=5230000&amp;sourceID=14","5230000")</f>
        <v>5230000</v>
      </c>
      <c r="G293" s="4" t="str">
        <f>HYPERLINK("http://141.218.60.56/~jnz1568/getInfo.php?workbook=14_06.xlsx&amp;sheet=A0&amp;row=293&amp;col=7&amp;number=0&amp;sourceID=14","0")</f>
        <v>0</v>
      </c>
    </row>
    <row r="294" spans="1:7">
      <c r="A294" s="3">
        <v>14</v>
      </c>
      <c r="B294" s="3">
        <v>6</v>
      </c>
      <c r="C294" s="3">
        <v>22</v>
      </c>
      <c r="D294" s="3">
        <v>19</v>
      </c>
      <c r="E294" s="3">
        <v>110.636</v>
      </c>
      <c r="F294" s="4" t="str">
        <f>HYPERLINK("http://141.218.60.56/~jnz1568/getInfo.php?workbook=14_06.xlsx&amp;sheet=A0&amp;row=294&amp;col=6&amp;number=28500000&amp;sourceID=14","28500000")</f>
        <v>28500000</v>
      </c>
      <c r="G294" s="4" t="str">
        <f>HYPERLINK("http://141.218.60.56/~jnz1568/getInfo.php?workbook=14_06.xlsx&amp;sheet=A0&amp;row=294&amp;col=7&amp;number=0&amp;sourceID=14","0")</f>
        <v>0</v>
      </c>
    </row>
    <row r="295" spans="1:7">
      <c r="A295" s="3">
        <v>14</v>
      </c>
      <c r="B295" s="3">
        <v>6</v>
      </c>
      <c r="C295" s="3">
        <v>23</v>
      </c>
      <c r="D295" s="3">
        <v>19</v>
      </c>
      <c r="E295" s="3">
        <v>110.012</v>
      </c>
      <c r="F295" s="4" t="str">
        <f>HYPERLINK("http://141.218.60.56/~jnz1568/getInfo.php?workbook=14_06.xlsx&amp;sheet=A0&amp;row=295&amp;col=6&amp;number=540000&amp;sourceID=14","540000")</f>
        <v>540000</v>
      </c>
      <c r="G295" s="4" t="str">
        <f>HYPERLINK("http://141.218.60.56/~jnz1568/getInfo.php?workbook=14_06.xlsx&amp;sheet=A0&amp;row=295&amp;col=7&amp;number=0&amp;sourceID=14","0")</f>
        <v>0</v>
      </c>
    </row>
    <row r="296" spans="1:7">
      <c r="A296" s="3">
        <v>14</v>
      </c>
      <c r="B296" s="3">
        <v>6</v>
      </c>
      <c r="C296" s="3">
        <v>24</v>
      </c>
      <c r="D296" s="3">
        <v>19</v>
      </c>
      <c r="E296" s="3">
        <v>108.538</v>
      </c>
      <c r="F296" s="4" t="str">
        <f>HYPERLINK("http://141.218.60.56/~jnz1568/getInfo.php?workbook=14_06.xlsx&amp;sheet=A0&amp;row=296&amp;col=6&amp;number=669000000&amp;sourceID=14","669000000")</f>
        <v>669000000</v>
      </c>
      <c r="G296" s="4" t="str">
        <f>HYPERLINK("http://141.218.60.56/~jnz1568/getInfo.php?workbook=14_06.xlsx&amp;sheet=A0&amp;row=296&amp;col=7&amp;number=0&amp;sourceID=14","0")</f>
        <v>0</v>
      </c>
    </row>
    <row r="297" spans="1:7">
      <c r="A297" s="3">
        <v>14</v>
      </c>
      <c r="B297" s="3">
        <v>6</v>
      </c>
      <c r="C297" s="3">
        <v>25</v>
      </c>
      <c r="D297" s="3">
        <v>19</v>
      </c>
      <c r="E297" s="3">
        <v>-102.188</v>
      </c>
      <c r="F297" s="4" t="str">
        <f>HYPERLINK("http://141.218.60.56/~jnz1568/getInfo.php?workbook=14_06.xlsx&amp;sheet=A0&amp;row=297&amp;col=6&amp;number=27200&amp;sourceID=14","27200")</f>
        <v>27200</v>
      </c>
      <c r="G297" s="4" t="str">
        <f>HYPERLINK("http://141.218.60.56/~jnz1568/getInfo.php?workbook=14_06.xlsx&amp;sheet=A0&amp;row=297&amp;col=7&amp;number=0&amp;sourceID=14","0")</f>
        <v>0</v>
      </c>
    </row>
    <row r="298" spans="1:7">
      <c r="A298" s="3">
        <v>14</v>
      </c>
      <c r="B298" s="3">
        <v>6</v>
      </c>
      <c r="C298" s="3">
        <v>26</v>
      </c>
      <c r="D298" s="3">
        <v>19</v>
      </c>
      <c r="E298" s="3">
        <v>-101.583</v>
      </c>
      <c r="F298" s="4" t="str">
        <f>HYPERLINK("http://141.218.60.56/~jnz1568/getInfo.php?workbook=14_06.xlsx&amp;sheet=A0&amp;row=298&amp;col=6&amp;number=7230&amp;sourceID=14","7230")</f>
        <v>7230</v>
      </c>
      <c r="G298" s="4" t="str">
        <f>HYPERLINK("http://141.218.60.56/~jnz1568/getInfo.php?workbook=14_06.xlsx&amp;sheet=A0&amp;row=298&amp;col=7&amp;number=0&amp;sourceID=14","0")</f>
        <v>0</v>
      </c>
    </row>
    <row r="299" spans="1:7">
      <c r="A299" s="3">
        <v>14</v>
      </c>
      <c r="B299" s="3">
        <v>6</v>
      </c>
      <c r="C299" s="3">
        <v>33</v>
      </c>
      <c r="D299" s="3">
        <v>19</v>
      </c>
      <c r="E299" s="3">
        <v>-96.805</v>
      </c>
      <c r="F299" s="4" t="str">
        <f>HYPERLINK("http://141.218.60.56/~jnz1568/getInfo.php?workbook=14_06.xlsx&amp;sheet=A0&amp;row=299&amp;col=6&amp;number=20100&amp;sourceID=14","20100")</f>
        <v>20100</v>
      </c>
      <c r="G299" s="4" t="str">
        <f>HYPERLINK("http://141.218.60.56/~jnz1568/getInfo.php?workbook=14_06.xlsx&amp;sheet=A0&amp;row=299&amp;col=7&amp;number=0&amp;sourceID=14","0")</f>
        <v>0</v>
      </c>
    </row>
    <row r="300" spans="1:7">
      <c r="A300" s="3">
        <v>14</v>
      </c>
      <c r="B300" s="3">
        <v>6</v>
      </c>
      <c r="C300" s="3">
        <v>34</v>
      </c>
      <c r="D300" s="3">
        <v>19</v>
      </c>
      <c r="E300" s="3">
        <v>-94.309</v>
      </c>
      <c r="F300" s="4" t="str">
        <f>HYPERLINK("http://141.218.60.56/~jnz1568/getInfo.php?workbook=14_06.xlsx&amp;sheet=A0&amp;row=300&amp;col=6&amp;number=62900&amp;sourceID=14","62900")</f>
        <v>62900</v>
      </c>
      <c r="G300" s="4" t="str">
        <f>HYPERLINK("http://141.218.60.56/~jnz1568/getInfo.php?workbook=14_06.xlsx&amp;sheet=A0&amp;row=300&amp;col=7&amp;number=0&amp;sourceID=14","0")</f>
        <v>0</v>
      </c>
    </row>
    <row r="301" spans="1:7">
      <c r="A301" s="3">
        <v>14</v>
      </c>
      <c r="B301" s="3">
        <v>6</v>
      </c>
      <c r="C301" s="3">
        <v>35</v>
      </c>
      <c r="D301" s="3">
        <v>19</v>
      </c>
      <c r="E301" s="3">
        <v>-93.41</v>
      </c>
      <c r="F301" s="4" t="str">
        <f>HYPERLINK("http://141.218.60.56/~jnz1568/getInfo.php?workbook=14_06.xlsx&amp;sheet=A0&amp;row=301&amp;col=6&amp;number=700000000&amp;sourceID=14","700000000")</f>
        <v>700000000</v>
      </c>
      <c r="G301" s="4" t="str">
        <f>HYPERLINK("http://141.218.60.56/~jnz1568/getInfo.php?workbook=14_06.xlsx&amp;sheet=A0&amp;row=301&amp;col=7&amp;number=0&amp;sourceID=14","0")</f>
        <v>0</v>
      </c>
    </row>
    <row r="302" spans="1:7">
      <c r="A302" s="3">
        <v>14</v>
      </c>
      <c r="B302" s="3">
        <v>6</v>
      </c>
      <c r="C302" s="3">
        <v>36</v>
      </c>
      <c r="D302" s="3">
        <v>19</v>
      </c>
      <c r="E302" s="3">
        <v>-93.133</v>
      </c>
      <c r="F302" s="4" t="str">
        <f>HYPERLINK("http://141.218.60.56/~jnz1568/getInfo.php?workbook=14_06.xlsx&amp;sheet=A0&amp;row=302&amp;col=6&amp;number=14500000&amp;sourceID=14","14500000")</f>
        <v>14500000</v>
      </c>
      <c r="G302" s="4" t="str">
        <f>HYPERLINK("http://141.218.60.56/~jnz1568/getInfo.php?workbook=14_06.xlsx&amp;sheet=A0&amp;row=302&amp;col=7&amp;number=0&amp;sourceID=14","0")</f>
        <v>0</v>
      </c>
    </row>
    <row r="303" spans="1:7">
      <c r="A303" s="3">
        <v>14</v>
      </c>
      <c r="B303" s="3">
        <v>6</v>
      </c>
      <c r="C303" s="3">
        <v>37</v>
      </c>
      <c r="D303" s="3">
        <v>19</v>
      </c>
      <c r="E303" s="3">
        <v>93.063</v>
      </c>
      <c r="F303" s="4" t="str">
        <f>HYPERLINK("http://141.218.60.56/~jnz1568/getInfo.php?workbook=14_06.xlsx&amp;sheet=A0&amp;row=303&amp;col=6&amp;number=3160000000&amp;sourceID=14","3160000000")</f>
        <v>3160000000</v>
      </c>
      <c r="G303" s="4" t="str">
        <f>HYPERLINK("http://141.218.60.56/~jnz1568/getInfo.php?workbook=14_06.xlsx&amp;sheet=A0&amp;row=303&amp;col=7&amp;number=0&amp;sourceID=14","0")</f>
        <v>0</v>
      </c>
    </row>
    <row r="304" spans="1:7">
      <c r="A304" s="3">
        <v>14</v>
      </c>
      <c r="B304" s="3">
        <v>6</v>
      </c>
      <c r="C304" s="3">
        <v>39</v>
      </c>
      <c r="D304" s="3">
        <v>19</v>
      </c>
      <c r="E304" s="3">
        <v>91.857</v>
      </c>
      <c r="F304" s="4" t="str">
        <f>HYPERLINK("http://141.218.60.56/~jnz1568/getInfo.php?workbook=14_06.xlsx&amp;sheet=A0&amp;row=304&amp;col=6&amp;number=4600000&amp;sourceID=14","4600000")</f>
        <v>4600000</v>
      </c>
      <c r="G304" s="4" t="str">
        <f>HYPERLINK("http://141.218.60.56/~jnz1568/getInfo.php?workbook=14_06.xlsx&amp;sheet=A0&amp;row=304&amp;col=7&amp;number=0&amp;sourceID=14","0")</f>
        <v>0</v>
      </c>
    </row>
    <row r="305" spans="1:7">
      <c r="A305" s="3">
        <v>14</v>
      </c>
      <c r="B305" s="3">
        <v>6</v>
      </c>
      <c r="C305" s="3">
        <v>40</v>
      </c>
      <c r="D305" s="3">
        <v>19</v>
      </c>
      <c r="E305" s="3">
        <v>91.783</v>
      </c>
      <c r="F305" s="4" t="str">
        <f>HYPERLINK("http://141.218.60.56/~jnz1568/getInfo.php?workbook=14_06.xlsx&amp;sheet=A0&amp;row=305&amp;col=6&amp;number=61500000&amp;sourceID=14","61500000")</f>
        <v>61500000</v>
      </c>
      <c r="G305" s="4" t="str">
        <f>HYPERLINK("http://141.218.60.56/~jnz1568/getInfo.php?workbook=14_06.xlsx&amp;sheet=A0&amp;row=305&amp;col=7&amp;number=0&amp;sourceID=14","0")</f>
        <v>0</v>
      </c>
    </row>
    <row r="306" spans="1:7">
      <c r="A306" s="3">
        <v>14</v>
      </c>
      <c r="B306" s="3">
        <v>6</v>
      </c>
      <c r="C306" s="3">
        <v>41</v>
      </c>
      <c r="D306" s="3">
        <v>19</v>
      </c>
      <c r="E306" s="3">
        <v>91.582</v>
      </c>
      <c r="F306" s="4" t="str">
        <f>HYPERLINK("http://141.218.60.56/~jnz1568/getInfo.php?workbook=14_06.xlsx&amp;sheet=A0&amp;row=306&amp;col=6&amp;number=50600000&amp;sourceID=14","50600000")</f>
        <v>50600000</v>
      </c>
      <c r="G306" s="4" t="str">
        <f>HYPERLINK("http://141.218.60.56/~jnz1568/getInfo.php?workbook=14_06.xlsx&amp;sheet=A0&amp;row=306&amp;col=7&amp;number=0&amp;sourceID=14","0")</f>
        <v>0</v>
      </c>
    </row>
    <row r="307" spans="1:7">
      <c r="A307" s="3">
        <v>14</v>
      </c>
      <c r="B307" s="3">
        <v>6</v>
      </c>
      <c r="C307" s="3">
        <v>42</v>
      </c>
      <c r="D307" s="3">
        <v>19</v>
      </c>
      <c r="E307" s="3">
        <v>91.229</v>
      </c>
      <c r="F307" s="4" t="str">
        <f>HYPERLINK("http://141.218.60.56/~jnz1568/getInfo.php?workbook=14_06.xlsx&amp;sheet=A0&amp;row=307&amp;col=6&amp;number=6840000&amp;sourceID=14","6840000")</f>
        <v>6840000</v>
      </c>
      <c r="G307" s="4" t="str">
        <f>HYPERLINK("http://141.218.60.56/~jnz1568/getInfo.php?workbook=14_06.xlsx&amp;sheet=A0&amp;row=307&amp;col=7&amp;number=0&amp;sourceID=14","0")</f>
        <v>0</v>
      </c>
    </row>
    <row r="308" spans="1:7">
      <c r="A308" s="3">
        <v>14</v>
      </c>
      <c r="B308" s="3">
        <v>6</v>
      </c>
      <c r="C308" s="3">
        <v>43</v>
      </c>
      <c r="D308" s="3">
        <v>19</v>
      </c>
      <c r="E308" s="3">
        <v>91.126</v>
      </c>
      <c r="F308" s="4" t="str">
        <f>HYPERLINK("http://141.218.60.56/~jnz1568/getInfo.php?workbook=14_06.xlsx&amp;sheet=A0&amp;row=308&amp;col=6&amp;number=3590000&amp;sourceID=14","3590000")</f>
        <v>3590000</v>
      </c>
      <c r="G308" s="4" t="str">
        <f>HYPERLINK("http://141.218.60.56/~jnz1568/getInfo.php?workbook=14_06.xlsx&amp;sheet=A0&amp;row=308&amp;col=7&amp;number=0&amp;sourceID=14","0")</f>
        <v>0</v>
      </c>
    </row>
    <row r="309" spans="1:7">
      <c r="A309" s="3">
        <v>14</v>
      </c>
      <c r="B309" s="3">
        <v>6</v>
      </c>
      <c r="C309" s="3">
        <v>45</v>
      </c>
      <c r="D309" s="3">
        <v>19</v>
      </c>
      <c r="E309" s="3">
        <v>89.362</v>
      </c>
      <c r="F309" s="4" t="str">
        <f>HYPERLINK("http://141.218.60.56/~jnz1568/getInfo.php?workbook=14_06.xlsx&amp;sheet=A0&amp;row=309&amp;col=6&amp;number=651000000&amp;sourceID=14","651000000")</f>
        <v>651000000</v>
      </c>
      <c r="G309" s="4" t="str">
        <f>HYPERLINK("http://141.218.60.56/~jnz1568/getInfo.php?workbook=14_06.xlsx&amp;sheet=A0&amp;row=309&amp;col=7&amp;number=0&amp;sourceID=14","0")</f>
        <v>0</v>
      </c>
    </row>
    <row r="310" spans="1:7">
      <c r="A310" s="3">
        <v>14</v>
      </c>
      <c r="B310" s="3">
        <v>6</v>
      </c>
      <c r="C310" s="3">
        <v>46</v>
      </c>
      <c r="D310" s="3">
        <v>19</v>
      </c>
      <c r="E310" s="3">
        <v>89.424</v>
      </c>
      <c r="F310" s="4" t="str">
        <f>HYPERLINK("http://141.218.60.56/~jnz1568/getInfo.php?workbook=14_06.xlsx&amp;sheet=A0&amp;row=310&amp;col=6&amp;number=4710000000&amp;sourceID=14","4710000000")</f>
        <v>4710000000</v>
      </c>
      <c r="G310" s="4" t="str">
        <f>HYPERLINK("http://141.218.60.56/~jnz1568/getInfo.php?workbook=14_06.xlsx&amp;sheet=A0&amp;row=310&amp;col=7&amp;number=0&amp;sourceID=14","0")</f>
        <v>0</v>
      </c>
    </row>
    <row r="311" spans="1:7">
      <c r="A311" s="3">
        <v>14</v>
      </c>
      <c r="B311" s="3">
        <v>6</v>
      </c>
      <c r="C311" s="3">
        <v>22</v>
      </c>
      <c r="D311" s="3">
        <v>20</v>
      </c>
      <c r="E311" s="3">
        <v>124.43</v>
      </c>
      <c r="F311" s="4" t="str">
        <f>HYPERLINK("http://141.218.60.56/~jnz1568/getInfo.php?workbook=14_06.xlsx&amp;sheet=A0&amp;row=311&amp;col=6&amp;number=11500000&amp;sourceID=14","11500000")</f>
        <v>11500000</v>
      </c>
      <c r="G311" s="4" t="str">
        <f>HYPERLINK("http://141.218.60.56/~jnz1568/getInfo.php?workbook=14_06.xlsx&amp;sheet=A0&amp;row=311&amp;col=7&amp;number=0&amp;sourceID=14","0")</f>
        <v>0</v>
      </c>
    </row>
    <row r="312" spans="1:7">
      <c r="A312" s="3">
        <v>14</v>
      </c>
      <c r="B312" s="3">
        <v>6</v>
      </c>
      <c r="C312" s="3">
        <v>24</v>
      </c>
      <c r="D312" s="3">
        <v>20</v>
      </c>
      <c r="E312" s="3">
        <v>121.783</v>
      </c>
      <c r="F312" s="4" t="str">
        <f>HYPERLINK("http://141.218.60.56/~jnz1568/getInfo.php?workbook=14_06.xlsx&amp;sheet=A0&amp;row=312&amp;col=6&amp;number=524000000&amp;sourceID=14","524000000")</f>
        <v>524000000</v>
      </c>
      <c r="G312" s="4" t="str">
        <f>HYPERLINK("http://141.218.60.56/~jnz1568/getInfo.php?workbook=14_06.xlsx&amp;sheet=A0&amp;row=312&amp;col=7&amp;number=0&amp;sourceID=14","0")</f>
        <v>0</v>
      </c>
    </row>
    <row r="313" spans="1:7">
      <c r="A313" s="3">
        <v>14</v>
      </c>
      <c r="B313" s="3">
        <v>6</v>
      </c>
      <c r="C313" s="3">
        <v>33</v>
      </c>
      <c r="D313" s="3">
        <v>20</v>
      </c>
      <c r="E313" s="3">
        <v>-107.556</v>
      </c>
      <c r="F313" s="4" t="str">
        <f>HYPERLINK("http://141.218.60.56/~jnz1568/getInfo.php?workbook=14_06.xlsx&amp;sheet=A0&amp;row=313&amp;col=6&amp;number=33400&amp;sourceID=14","33400")</f>
        <v>33400</v>
      </c>
      <c r="G313" s="4" t="str">
        <f>HYPERLINK("http://141.218.60.56/~jnz1568/getInfo.php?workbook=14_06.xlsx&amp;sheet=A0&amp;row=313&amp;col=7&amp;number=0&amp;sourceID=14","0")</f>
        <v>0</v>
      </c>
    </row>
    <row r="314" spans="1:7">
      <c r="A314" s="3">
        <v>14</v>
      </c>
      <c r="B314" s="3">
        <v>6</v>
      </c>
      <c r="C314" s="3">
        <v>39</v>
      </c>
      <c r="D314" s="3">
        <v>20</v>
      </c>
      <c r="E314" s="3">
        <v>101.169</v>
      </c>
      <c r="F314" s="4" t="str">
        <f>HYPERLINK("http://141.218.60.56/~jnz1568/getInfo.php?workbook=14_06.xlsx&amp;sheet=A0&amp;row=314&amp;col=6&amp;number=50300000&amp;sourceID=14","50300000")</f>
        <v>50300000</v>
      </c>
      <c r="G314" s="4" t="str">
        <f>HYPERLINK("http://141.218.60.56/~jnz1568/getInfo.php?workbook=14_06.xlsx&amp;sheet=A0&amp;row=314&amp;col=7&amp;number=0&amp;sourceID=14","0")</f>
        <v>0</v>
      </c>
    </row>
    <row r="315" spans="1:7">
      <c r="A315" s="3">
        <v>14</v>
      </c>
      <c r="B315" s="3">
        <v>6</v>
      </c>
      <c r="C315" s="3">
        <v>43</v>
      </c>
      <c r="D315" s="3">
        <v>20</v>
      </c>
      <c r="E315" s="3">
        <v>100.283</v>
      </c>
      <c r="F315" s="4" t="str">
        <f>HYPERLINK("http://141.218.60.56/~jnz1568/getInfo.php?workbook=14_06.xlsx&amp;sheet=A0&amp;row=315&amp;col=6&amp;number=11800000&amp;sourceID=14","11800000")</f>
        <v>11800000</v>
      </c>
      <c r="G315" s="4" t="str">
        <f>HYPERLINK("http://141.218.60.56/~jnz1568/getInfo.php?workbook=14_06.xlsx&amp;sheet=A0&amp;row=315&amp;col=7&amp;number=0&amp;sourceID=14","0")</f>
        <v>0</v>
      </c>
    </row>
    <row r="316" spans="1:7">
      <c r="A316" s="3">
        <v>14</v>
      </c>
      <c r="B316" s="3">
        <v>6</v>
      </c>
      <c r="C316" s="3">
        <v>45</v>
      </c>
      <c r="D316" s="3">
        <v>20</v>
      </c>
      <c r="E316" s="3">
        <v>98.151</v>
      </c>
      <c r="F316" s="4" t="str">
        <f>HYPERLINK("http://141.218.60.56/~jnz1568/getInfo.php?workbook=14_06.xlsx&amp;sheet=A0&amp;row=316&amp;col=6&amp;number=10500000000&amp;sourceID=14","10500000000")</f>
        <v>10500000000</v>
      </c>
      <c r="G316" s="4" t="str">
        <f>HYPERLINK("http://141.218.60.56/~jnz1568/getInfo.php?workbook=14_06.xlsx&amp;sheet=A0&amp;row=316&amp;col=7&amp;number=0&amp;sourceID=14","0")</f>
        <v>0</v>
      </c>
    </row>
    <row r="317" spans="1:7">
      <c r="A317" s="3">
        <v>14</v>
      </c>
      <c r="B317" s="3">
        <v>6</v>
      </c>
      <c r="C317" s="3">
        <v>25</v>
      </c>
      <c r="D317" s="3">
        <v>21</v>
      </c>
      <c r="E317" s="3">
        <v>-1356.744</v>
      </c>
      <c r="F317" s="4" t="str">
        <f>HYPERLINK("http://141.218.60.56/~jnz1568/getInfo.php?workbook=14_06.xlsx&amp;sheet=A0&amp;row=317&amp;col=6&amp;number=39400000&amp;sourceID=14","39400000")</f>
        <v>39400000</v>
      </c>
      <c r="G317" s="4" t="str">
        <f>HYPERLINK("http://141.218.60.56/~jnz1568/getInfo.php?workbook=14_06.xlsx&amp;sheet=A0&amp;row=317&amp;col=7&amp;number=0&amp;sourceID=14","0")</f>
        <v>0</v>
      </c>
    </row>
    <row r="318" spans="1:7">
      <c r="A318" s="3">
        <v>14</v>
      </c>
      <c r="B318" s="3">
        <v>6</v>
      </c>
      <c r="C318" s="3">
        <v>26</v>
      </c>
      <c r="D318" s="3">
        <v>21</v>
      </c>
      <c r="E318" s="3">
        <v>-1257.358</v>
      </c>
      <c r="F318" s="4" t="str">
        <f>HYPERLINK("http://141.218.60.56/~jnz1568/getInfo.php?workbook=14_06.xlsx&amp;sheet=A0&amp;row=318&amp;col=6&amp;number=266000000&amp;sourceID=14","266000000")</f>
        <v>266000000</v>
      </c>
      <c r="G318" s="4" t="str">
        <f>HYPERLINK("http://141.218.60.56/~jnz1568/getInfo.php?workbook=14_06.xlsx&amp;sheet=A0&amp;row=318&amp;col=7&amp;number=0&amp;sourceID=14","0")</f>
        <v>0</v>
      </c>
    </row>
    <row r="319" spans="1:7">
      <c r="A319" s="3">
        <v>14</v>
      </c>
      <c r="B319" s="3">
        <v>6</v>
      </c>
      <c r="C319" s="3">
        <v>29</v>
      </c>
      <c r="D319" s="3">
        <v>21</v>
      </c>
      <c r="E319" s="3">
        <v>-1074.959</v>
      </c>
      <c r="F319" s="4" t="str">
        <f>HYPERLINK("http://141.218.60.56/~jnz1568/getInfo.php?workbook=14_06.xlsx&amp;sheet=A0&amp;row=319&amp;col=6&amp;number=102000000&amp;sourceID=14","102000000")</f>
        <v>102000000</v>
      </c>
      <c r="G319" s="4" t="str">
        <f>HYPERLINK("http://141.218.60.56/~jnz1568/getInfo.php?workbook=14_06.xlsx&amp;sheet=A0&amp;row=319&amp;col=7&amp;number=0&amp;sourceID=14","0")</f>
        <v>0</v>
      </c>
    </row>
    <row r="320" spans="1:7">
      <c r="A320" s="3">
        <v>14</v>
      </c>
      <c r="B320" s="3">
        <v>6</v>
      </c>
      <c r="C320" s="3">
        <v>31</v>
      </c>
      <c r="D320" s="3">
        <v>21</v>
      </c>
      <c r="E320" s="3">
        <v>-918.646</v>
      </c>
      <c r="F320" s="4" t="str">
        <f>HYPERLINK("http://141.218.60.56/~jnz1568/getInfo.php?workbook=14_06.xlsx&amp;sheet=A0&amp;row=320&amp;col=6&amp;number=374000000&amp;sourceID=14","374000000")</f>
        <v>374000000</v>
      </c>
      <c r="G320" s="4" t="str">
        <f>HYPERLINK("http://141.218.60.56/~jnz1568/getInfo.php?workbook=14_06.xlsx&amp;sheet=A0&amp;row=320&amp;col=7&amp;number=0&amp;sourceID=14","0")</f>
        <v>0</v>
      </c>
    </row>
    <row r="321" spans="1:7">
      <c r="A321" s="3">
        <v>14</v>
      </c>
      <c r="B321" s="3">
        <v>6</v>
      </c>
      <c r="C321" s="3">
        <v>25</v>
      </c>
      <c r="D321" s="3">
        <v>22</v>
      </c>
      <c r="E321" s="3">
        <v>-1387.87</v>
      </c>
      <c r="F321" s="4" t="str">
        <f>HYPERLINK("http://141.218.60.56/~jnz1568/getInfo.php?workbook=14_06.xlsx&amp;sheet=A0&amp;row=321&amp;col=6&amp;number=106000000&amp;sourceID=14","106000000")</f>
        <v>106000000</v>
      </c>
      <c r="G321" s="4" t="str">
        <f>HYPERLINK("http://141.218.60.56/~jnz1568/getInfo.php?workbook=14_06.xlsx&amp;sheet=A0&amp;row=321&amp;col=7&amp;number=0&amp;sourceID=14","0")</f>
        <v>0</v>
      </c>
    </row>
    <row r="322" spans="1:7">
      <c r="A322" s="3">
        <v>14</v>
      </c>
      <c r="B322" s="3">
        <v>6</v>
      </c>
      <c r="C322" s="3">
        <v>26</v>
      </c>
      <c r="D322" s="3">
        <v>22</v>
      </c>
      <c r="E322" s="3">
        <v>-1284.045</v>
      </c>
      <c r="F322" s="4" t="str">
        <f>HYPERLINK("http://141.218.60.56/~jnz1568/getInfo.php?workbook=14_06.xlsx&amp;sheet=A0&amp;row=322&amp;col=6&amp;number=76600000&amp;sourceID=14","76600000")</f>
        <v>76600000</v>
      </c>
      <c r="G322" s="4" t="str">
        <f>HYPERLINK("http://141.218.60.56/~jnz1568/getInfo.php?workbook=14_06.xlsx&amp;sheet=A0&amp;row=322&amp;col=7&amp;number=0&amp;sourceID=14","0")</f>
        <v>0</v>
      </c>
    </row>
    <row r="323" spans="1:7">
      <c r="A323" s="3">
        <v>14</v>
      </c>
      <c r="B323" s="3">
        <v>6</v>
      </c>
      <c r="C323" s="3">
        <v>27</v>
      </c>
      <c r="D323" s="3">
        <v>22</v>
      </c>
      <c r="E323" s="3">
        <v>-1262.676</v>
      </c>
      <c r="F323" s="4" t="str">
        <f>HYPERLINK("http://141.218.60.56/~jnz1568/getInfo.php?workbook=14_06.xlsx&amp;sheet=A0&amp;row=323&amp;col=6&amp;number=400000000&amp;sourceID=14","400000000")</f>
        <v>400000000</v>
      </c>
      <c r="G323" s="4" t="str">
        <f>HYPERLINK("http://141.218.60.56/~jnz1568/getInfo.php?workbook=14_06.xlsx&amp;sheet=A0&amp;row=323&amp;col=7&amp;number=0&amp;sourceID=14","0")</f>
        <v>0</v>
      </c>
    </row>
    <row r="324" spans="1:7">
      <c r="A324" s="3">
        <v>14</v>
      </c>
      <c r="B324" s="3">
        <v>6</v>
      </c>
      <c r="C324" s="3">
        <v>29</v>
      </c>
      <c r="D324" s="3">
        <v>22</v>
      </c>
      <c r="E324" s="3">
        <v>-1094.405</v>
      </c>
      <c r="F324" s="4" t="str">
        <f>HYPERLINK("http://141.218.60.56/~jnz1568/getInfo.php?workbook=14_06.xlsx&amp;sheet=A0&amp;row=324&amp;col=6&amp;number=262000000&amp;sourceID=14","262000000")</f>
        <v>262000000</v>
      </c>
      <c r="G324" s="4" t="str">
        <f>HYPERLINK("http://141.218.60.56/~jnz1568/getInfo.php?workbook=14_06.xlsx&amp;sheet=A0&amp;row=324&amp;col=7&amp;number=0&amp;sourceID=14","0")</f>
        <v>0</v>
      </c>
    </row>
    <row r="325" spans="1:7">
      <c r="A325" s="3">
        <v>14</v>
      </c>
      <c r="B325" s="3">
        <v>6</v>
      </c>
      <c r="C325" s="3">
        <v>30</v>
      </c>
      <c r="D325" s="3">
        <v>22</v>
      </c>
      <c r="E325" s="3">
        <v>-950.4</v>
      </c>
      <c r="F325" s="4" t="str">
        <f>HYPERLINK("http://141.218.60.56/~jnz1568/getInfo.php?workbook=14_06.xlsx&amp;sheet=A0&amp;row=325&amp;col=6&amp;number=1290000000&amp;sourceID=14","1290000000")</f>
        <v>1290000000</v>
      </c>
      <c r="G325" s="4" t="str">
        <f>HYPERLINK("http://141.218.60.56/~jnz1568/getInfo.php?workbook=14_06.xlsx&amp;sheet=A0&amp;row=325&amp;col=7&amp;number=0&amp;sourceID=14","0")</f>
        <v>0</v>
      </c>
    </row>
    <row r="326" spans="1:7">
      <c r="A326" s="3">
        <v>14</v>
      </c>
      <c r="B326" s="3">
        <v>6</v>
      </c>
      <c r="C326" s="3">
        <v>31</v>
      </c>
      <c r="D326" s="3">
        <v>22</v>
      </c>
      <c r="E326" s="3">
        <v>-932.812</v>
      </c>
      <c r="F326" s="4" t="str">
        <f>HYPERLINK("http://141.218.60.56/~jnz1568/getInfo.php?workbook=14_06.xlsx&amp;sheet=A0&amp;row=326&amp;col=6&amp;number=273000000&amp;sourceID=14","273000000")</f>
        <v>273000000</v>
      </c>
      <c r="G326" s="4" t="str">
        <f>HYPERLINK("http://141.218.60.56/~jnz1568/getInfo.php?workbook=14_06.xlsx&amp;sheet=A0&amp;row=326&amp;col=7&amp;number=0&amp;sourceID=14","0")</f>
        <v>0</v>
      </c>
    </row>
    <row r="327" spans="1:7">
      <c r="A327" s="3">
        <v>14</v>
      </c>
      <c r="B327" s="3">
        <v>6</v>
      </c>
      <c r="C327" s="3">
        <v>32</v>
      </c>
      <c r="D327" s="3">
        <v>22</v>
      </c>
      <c r="E327" s="3">
        <v>-913.527</v>
      </c>
      <c r="F327" s="4" t="str">
        <f>HYPERLINK("http://141.218.60.56/~jnz1568/getInfo.php?workbook=14_06.xlsx&amp;sheet=A0&amp;row=327&amp;col=6&amp;number=311000000&amp;sourceID=14","311000000")</f>
        <v>311000000</v>
      </c>
      <c r="G327" s="4" t="str">
        <f>HYPERLINK("http://141.218.60.56/~jnz1568/getInfo.php?workbook=14_06.xlsx&amp;sheet=A0&amp;row=327&amp;col=7&amp;number=0&amp;sourceID=14","0")</f>
        <v>0</v>
      </c>
    </row>
    <row r="328" spans="1:7">
      <c r="A328" s="3">
        <v>14</v>
      </c>
      <c r="B328" s="3">
        <v>6</v>
      </c>
      <c r="C328" s="3">
        <v>33</v>
      </c>
      <c r="D328" s="3">
        <v>22</v>
      </c>
      <c r="E328" s="3">
        <v>-790.765</v>
      </c>
      <c r="F328" s="4" t="str">
        <f>HYPERLINK("http://141.218.60.56/~jnz1568/getInfo.php?workbook=14_06.xlsx&amp;sheet=A0&amp;row=328&amp;col=6&amp;number=15500000&amp;sourceID=14","15500000")</f>
        <v>15500000</v>
      </c>
      <c r="G328" s="4" t="str">
        <f>HYPERLINK("http://141.218.60.56/~jnz1568/getInfo.php?workbook=14_06.xlsx&amp;sheet=A0&amp;row=328&amp;col=7&amp;number=0&amp;sourceID=14","0")</f>
        <v>0</v>
      </c>
    </row>
    <row r="329" spans="1:7">
      <c r="A329" s="3">
        <v>14</v>
      </c>
      <c r="B329" s="3">
        <v>6</v>
      </c>
      <c r="C329" s="3">
        <v>34</v>
      </c>
      <c r="D329" s="3">
        <v>22</v>
      </c>
      <c r="E329" s="3">
        <v>-650.175</v>
      </c>
      <c r="F329" s="4" t="str">
        <f>HYPERLINK("http://141.218.60.56/~jnz1568/getInfo.php?workbook=14_06.xlsx&amp;sheet=A0&amp;row=329&amp;col=6&amp;number=34900000&amp;sourceID=14","34900000")</f>
        <v>34900000</v>
      </c>
      <c r="G329" s="4" t="str">
        <f>HYPERLINK("http://141.218.60.56/~jnz1568/getInfo.php?workbook=14_06.xlsx&amp;sheet=A0&amp;row=329&amp;col=7&amp;number=0&amp;sourceID=14","0")</f>
        <v>0</v>
      </c>
    </row>
    <row r="330" spans="1:7">
      <c r="A330" s="3">
        <v>14</v>
      </c>
      <c r="B330" s="3">
        <v>6</v>
      </c>
      <c r="C330" s="3">
        <v>25</v>
      </c>
      <c r="D330" s="3">
        <v>23</v>
      </c>
      <c r="E330" s="3">
        <v>-1491.494</v>
      </c>
      <c r="F330" s="4" t="str">
        <f>HYPERLINK("http://141.218.60.56/~jnz1568/getInfo.php?workbook=14_06.xlsx&amp;sheet=A0&amp;row=330&amp;col=6&amp;number=146000&amp;sourceID=14","146000")</f>
        <v>146000</v>
      </c>
      <c r="G330" s="4" t="str">
        <f>HYPERLINK("http://141.218.60.56/~jnz1568/getInfo.php?workbook=14_06.xlsx&amp;sheet=A0&amp;row=330&amp;col=7&amp;number=0&amp;sourceID=14","0")</f>
        <v>0</v>
      </c>
    </row>
    <row r="331" spans="1:7">
      <c r="A331" s="3">
        <v>14</v>
      </c>
      <c r="B331" s="3">
        <v>6</v>
      </c>
      <c r="C331" s="3">
        <v>26</v>
      </c>
      <c r="D331" s="3">
        <v>23</v>
      </c>
      <c r="E331" s="3">
        <v>-1372.253</v>
      </c>
      <c r="F331" s="4" t="str">
        <f>HYPERLINK("http://141.218.60.56/~jnz1568/getInfo.php?workbook=14_06.xlsx&amp;sheet=A0&amp;row=331&amp;col=6&amp;number=11000000&amp;sourceID=14","11000000")</f>
        <v>11000000</v>
      </c>
      <c r="G331" s="4" t="str">
        <f>HYPERLINK("http://141.218.60.56/~jnz1568/getInfo.php?workbook=14_06.xlsx&amp;sheet=A0&amp;row=331&amp;col=7&amp;number=0&amp;sourceID=14","0")</f>
        <v>0</v>
      </c>
    </row>
    <row r="332" spans="1:7">
      <c r="A332" s="3">
        <v>14</v>
      </c>
      <c r="B332" s="3">
        <v>6</v>
      </c>
      <c r="C332" s="3">
        <v>27</v>
      </c>
      <c r="D332" s="3">
        <v>23</v>
      </c>
      <c r="E332" s="3">
        <v>-1347.875</v>
      </c>
      <c r="F332" s="4" t="str">
        <f>HYPERLINK("http://141.218.60.56/~jnz1568/getInfo.php?workbook=14_06.xlsx&amp;sheet=A0&amp;row=332&amp;col=6&amp;number=85400000&amp;sourceID=14","85400000")</f>
        <v>85400000</v>
      </c>
      <c r="G332" s="4" t="str">
        <f>HYPERLINK("http://141.218.60.56/~jnz1568/getInfo.php?workbook=14_06.xlsx&amp;sheet=A0&amp;row=332&amp;col=7&amp;number=0&amp;sourceID=14","0")</f>
        <v>0</v>
      </c>
    </row>
    <row r="333" spans="1:7">
      <c r="A333" s="3">
        <v>14</v>
      </c>
      <c r="B333" s="3">
        <v>6</v>
      </c>
      <c r="C333" s="3">
        <v>28</v>
      </c>
      <c r="D333" s="3">
        <v>23</v>
      </c>
      <c r="E333" s="3">
        <v>-1273.888</v>
      </c>
      <c r="F333" s="4" t="str">
        <f>HYPERLINK("http://141.218.60.56/~jnz1568/getInfo.php?workbook=14_06.xlsx&amp;sheet=A0&amp;row=333&amp;col=6&amp;number=497000000&amp;sourceID=14","497000000")</f>
        <v>497000000</v>
      </c>
      <c r="G333" s="4" t="str">
        <f>HYPERLINK("http://141.218.60.56/~jnz1568/getInfo.php?workbook=14_06.xlsx&amp;sheet=A0&amp;row=333&amp;col=7&amp;number=0&amp;sourceID=14","0")</f>
        <v>0</v>
      </c>
    </row>
    <row r="334" spans="1:7">
      <c r="A334" s="3">
        <v>14</v>
      </c>
      <c r="B334" s="3">
        <v>6</v>
      </c>
      <c r="C334" s="3">
        <v>29</v>
      </c>
      <c r="D334" s="3">
        <v>23</v>
      </c>
      <c r="E334" s="3">
        <v>-1157.838</v>
      </c>
      <c r="F334" s="4" t="str">
        <f>HYPERLINK("http://141.218.60.56/~jnz1568/getInfo.php?workbook=14_06.xlsx&amp;sheet=A0&amp;row=334&amp;col=6&amp;number=241000000&amp;sourceID=14","241000000")</f>
        <v>241000000</v>
      </c>
      <c r="G334" s="4" t="str">
        <f>HYPERLINK("http://141.218.60.56/~jnz1568/getInfo.php?workbook=14_06.xlsx&amp;sheet=A0&amp;row=334&amp;col=7&amp;number=0&amp;sourceID=14","0")</f>
        <v>0</v>
      </c>
    </row>
    <row r="335" spans="1:7">
      <c r="A335" s="3">
        <v>14</v>
      </c>
      <c r="B335" s="3">
        <v>6</v>
      </c>
      <c r="C335" s="3">
        <v>31</v>
      </c>
      <c r="D335" s="3">
        <v>23</v>
      </c>
      <c r="E335" s="3">
        <v>-978.504</v>
      </c>
      <c r="F335" s="4" t="str">
        <f>HYPERLINK("http://141.218.60.56/~jnz1568/getInfo.php?workbook=14_06.xlsx&amp;sheet=A0&amp;row=335&amp;col=6&amp;number=633000000&amp;sourceID=14","633000000")</f>
        <v>633000000</v>
      </c>
      <c r="G335" s="4" t="str">
        <f>HYPERLINK("http://141.218.60.56/~jnz1568/getInfo.php?workbook=14_06.xlsx&amp;sheet=A0&amp;row=335&amp;col=7&amp;number=0&amp;sourceID=14","0")</f>
        <v>0</v>
      </c>
    </row>
    <row r="336" spans="1:7">
      <c r="A336" s="3">
        <v>14</v>
      </c>
      <c r="B336" s="3">
        <v>6</v>
      </c>
      <c r="C336" s="3">
        <v>32</v>
      </c>
      <c r="D336" s="3">
        <v>23</v>
      </c>
      <c r="E336" s="3">
        <v>-957.306</v>
      </c>
      <c r="F336" s="4" t="str">
        <f>HYPERLINK("http://141.218.60.56/~jnz1568/getInfo.php?workbook=14_06.xlsx&amp;sheet=A0&amp;row=336&amp;col=6&amp;number=1010000000&amp;sourceID=14","1010000000")</f>
        <v>1010000000</v>
      </c>
      <c r="G336" s="4" t="str">
        <f>HYPERLINK("http://141.218.60.56/~jnz1568/getInfo.php?workbook=14_06.xlsx&amp;sheet=A0&amp;row=336&amp;col=7&amp;number=0&amp;sourceID=14","0")</f>
        <v>0</v>
      </c>
    </row>
    <row r="337" spans="1:7">
      <c r="A337" s="3">
        <v>14</v>
      </c>
      <c r="B337" s="3">
        <v>6</v>
      </c>
      <c r="C337" s="3">
        <v>33</v>
      </c>
      <c r="D337" s="3">
        <v>23</v>
      </c>
      <c r="E337" s="3">
        <v>-823.359</v>
      </c>
      <c r="F337" s="4" t="str">
        <f>HYPERLINK("http://141.218.60.56/~jnz1568/getInfo.php?workbook=14_06.xlsx&amp;sheet=A0&amp;row=337&amp;col=6&amp;number=11300000&amp;sourceID=14","11300000")</f>
        <v>11300000</v>
      </c>
      <c r="G337" s="4" t="str">
        <f>HYPERLINK("http://141.218.60.56/~jnz1568/getInfo.php?workbook=14_06.xlsx&amp;sheet=A0&amp;row=337&amp;col=7&amp;number=0&amp;sourceID=14","0")</f>
        <v>0</v>
      </c>
    </row>
    <row r="338" spans="1:7">
      <c r="A338" s="3">
        <v>14</v>
      </c>
      <c r="B338" s="3">
        <v>6</v>
      </c>
      <c r="C338" s="3">
        <v>38</v>
      </c>
      <c r="D338" s="3">
        <v>23</v>
      </c>
      <c r="E338" s="3">
        <v>-603.49</v>
      </c>
      <c r="F338" s="4" t="str">
        <f>HYPERLINK("http://141.218.60.56/~jnz1568/getInfo.php?workbook=14_06.xlsx&amp;sheet=A0&amp;row=338&amp;col=6&amp;number=6330&amp;sourceID=14","6330")</f>
        <v>6330</v>
      </c>
      <c r="G338" s="4" t="str">
        <f>HYPERLINK("http://141.218.60.56/~jnz1568/getInfo.php?workbook=14_06.xlsx&amp;sheet=A0&amp;row=338&amp;col=7&amp;number=0&amp;sourceID=14","0")</f>
        <v>0</v>
      </c>
    </row>
    <row r="339" spans="1:7">
      <c r="A339" s="3">
        <v>14</v>
      </c>
      <c r="B339" s="3">
        <v>6</v>
      </c>
      <c r="C339" s="3">
        <v>25</v>
      </c>
      <c r="D339" s="3">
        <v>24</v>
      </c>
      <c r="E339" s="3">
        <v>-1852.507</v>
      </c>
      <c r="F339" s="4" t="str">
        <f>HYPERLINK("http://141.218.60.56/~jnz1568/getInfo.php?workbook=14_06.xlsx&amp;sheet=A0&amp;row=339&amp;col=6&amp;number=103000000&amp;sourceID=14","103000000")</f>
        <v>103000000</v>
      </c>
      <c r="G339" s="4" t="str">
        <f>HYPERLINK("http://141.218.60.56/~jnz1568/getInfo.php?workbook=14_06.xlsx&amp;sheet=A0&amp;row=339&amp;col=7&amp;number=0&amp;sourceID=14","0")</f>
        <v>0</v>
      </c>
    </row>
    <row r="340" spans="1:7">
      <c r="A340" s="3">
        <v>14</v>
      </c>
      <c r="B340" s="3">
        <v>6</v>
      </c>
      <c r="C340" s="3">
        <v>26</v>
      </c>
      <c r="D340" s="3">
        <v>24</v>
      </c>
      <c r="E340" s="3">
        <v>-1672.048</v>
      </c>
      <c r="F340" s="4" t="str">
        <f>HYPERLINK("http://141.218.60.56/~jnz1568/getInfo.php?workbook=14_06.xlsx&amp;sheet=A0&amp;row=340&amp;col=6&amp;number=66400000&amp;sourceID=14","66400000")</f>
        <v>66400000</v>
      </c>
      <c r="G340" s="4" t="str">
        <f>HYPERLINK("http://141.218.60.56/~jnz1568/getInfo.php?workbook=14_06.xlsx&amp;sheet=A0&amp;row=340&amp;col=7&amp;number=0&amp;sourceID=14","0")</f>
        <v>0</v>
      </c>
    </row>
    <row r="341" spans="1:7">
      <c r="A341" s="3">
        <v>14</v>
      </c>
      <c r="B341" s="3">
        <v>6</v>
      </c>
      <c r="C341" s="3">
        <v>27</v>
      </c>
      <c r="D341" s="3">
        <v>24</v>
      </c>
      <c r="E341" s="3">
        <v>-1635.995</v>
      </c>
      <c r="F341" s="4" t="str">
        <f>HYPERLINK("http://141.218.60.56/~jnz1568/getInfo.php?workbook=14_06.xlsx&amp;sheet=A0&amp;row=341&amp;col=6&amp;number=2900000&amp;sourceID=14","2900000")</f>
        <v>2900000</v>
      </c>
      <c r="G341" s="4" t="str">
        <f>HYPERLINK("http://141.218.60.56/~jnz1568/getInfo.php?workbook=14_06.xlsx&amp;sheet=A0&amp;row=341&amp;col=7&amp;number=0&amp;sourceID=14","0")</f>
        <v>0</v>
      </c>
    </row>
    <row r="342" spans="1:7">
      <c r="A342" s="3">
        <v>14</v>
      </c>
      <c r="B342" s="3">
        <v>6</v>
      </c>
      <c r="C342" s="3">
        <v>29</v>
      </c>
      <c r="D342" s="3">
        <v>24</v>
      </c>
      <c r="E342" s="3">
        <v>-1364.222</v>
      </c>
      <c r="F342" s="4" t="str">
        <f>HYPERLINK("http://141.218.60.56/~jnz1568/getInfo.php?workbook=14_06.xlsx&amp;sheet=A0&amp;row=342&amp;col=6&amp;number=24200000&amp;sourceID=14","24200000")</f>
        <v>24200000</v>
      </c>
      <c r="G342" s="4" t="str">
        <f>HYPERLINK("http://141.218.60.56/~jnz1568/getInfo.php?workbook=14_06.xlsx&amp;sheet=A0&amp;row=342&amp;col=7&amp;number=0&amp;sourceID=14","0")</f>
        <v>0</v>
      </c>
    </row>
    <row r="343" spans="1:7">
      <c r="A343" s="3">
        <v>14</v>
      </c>
      <c r="B343" s="3">
        <v>6</v>
      </c>
      <c r="C343" s="3">
        <v>30</v>
      </c>
      <c r="D343" s="3">
        <v>24</v>
      </c>
      <c r="E343" s="3">
        <v>-1147.488</v>
      </c>
      <c r="F343" s="4" t="str">
        <f>HYPERLINK("http://141.218.60.56/~jnz1568/getInfo.php?workbook=14_06.xlsx&amp;sheet=A0&amp;row=343&amp;col=6&amp;number=7560000&amp;sourceID=14","7560000")</f>
        <v>7560000</v>
      </c>
      <c r="G343" s="4" t="str">
        <f>HYPERLINK("http://141.218.60.56/~jnz1568/getInfo.php?workbook=14_06.xlsx&amp;sheet=A0&amp;row=343&amp;col=7&amp;number=0&amp;sourceID=14","0")</f>
        <v>0</v>
      </c>
    </row>
    <row r="344" spans="1:7">
      <c r="A344" s="3">
        <v>14</v>
      </c>
      <c r="B344" s="3">
        <v>6</v>
      </c>
      <c r="C344" s="3">
        <v>31</v>
      </c>
      <c r="D344" s="3">
        <v>24</v>
      </c>
      <c r="E344" s="3">
        <v>-1121.946</v>
      </c>
      <c r="F344" s="4" t="str">
        <f>HYPERLINK("http://141.218.60.56/~jnz1568/getInfo.php?workbook=14_06.xlsx&amp;sheet=A0&amp;row=344&amp;col=6&amp;number=9740000&amp;sourceID=14","9740000")</f>
        <v>9740000</v>
      </c>
      <c r="G344" s="4" t="str">
        <f>HYPERLINK("http://141.218.60.56/~jnz1568/getInfo.php?workbook=14_06.xlsx&amp;sheet=A0&amp;row=344&amp;col=7&amp;number=0&amp;sourceID=14","0")</f>
        <v>0</v>
      </c>
    </row>
    <row r="345" spans="1:7">
      <c r="A345" s="3">
        <v>14</v>
      </c>
      <c r="B345" s="3">
        <v>6</v>
      </c>
      <c r="C345" s="3">
        <v>32</v>
      </c>
      <c r="D345" s="3">
        <v>24</v>
      </c>
      <c r="E345" s="3">
        <v>-1094.166</v>
      </c>
      <c r="F345" s="4" t="str">
        <f>HYPERLINK("http://141.218.60.56/~jnz1568/getInfo.php?workbook=14_06.xlsx&amp;sheet=A0&amp;row=345&amp;col=6&amp;number=426000&amp;sourceID=14","426000")</f>
        <v>426000</v>
      </c>
      <c r="G345" s="4" t="str">
        <f>HYPERLINK("http://141.218.60.56/~jnz1568/getInfo.php?workbook=14_06.xlsx&amp;sheet=A0&amp;row=345&amp;col=7&amp;number=0&amp;sourceID=14","0")</f>
        <v>0</v>
      </c>
    </row>
    <row r="346" spans="1:7">
      <c r="A346" s="3">
        <v>14</v>
      </c>
      <c r="B346" s="3">
        <v>6</v>
      </c>
      <c r="C346" s="3">
        <v>33</v>
      </c>
      <c r="D346" s="3">
        <v>24</v>
      </c>
      <c r="E346" s="3">
        <v>-922.613</v>
      </c>
      <c r="F346" s="4" t="str">
        <f>HYPERLINK("http://141.218.60.56/~jnz1568/getInfo.php?workbook=14_06.xlsx&amp;sheet=A0&amp;row=346&amp;col=6&amp;number=1320000000&amp;sourceID=14","1320000000")</f>
        <v>1320000000</v>
      </c>
      <c r="G346" s="4" t="str">
        <f>HYPERLINK("http://141.218.60.56/~jnz1568/getInfo.php?workbook=14_06.xlsx&amp;sheet=A0&amp;row=346&amp;col=7&amp;number=0&amp;sourceID=14","0")</f>
        <v>0</v>
      </c>
    </row>
    <row r="347" spans="1:7">
      <c r="A347" s="3">
        <v>14</v>
      </c>
      <c r="B347" s="3">
        <v>6</v>
      </c>
      <c r="C347" s="3">
        <v>34</v>
      </c>
      <c r="D347" s="3">
        <v>24</v>
      </c>
      <c r="E347" s="3">
        <v>-736.742</v>
      </c>
      <c r="F347" s="4" t="str">
        <f>HYPERLINK("http://141.218.60.56/~jnz1568/getInfo.php?workbook=14_06.xlsx&amp;sheet=A0&amp;row=347&amp;col=6&amp;number=2590000000&amp;sourceID=14","2590000000")</f>
        <v>2590000000</v>
      </c>
      <c r="G347" s="4" t="str">
        <f>HYPERLINK("http://141.218.60.56/~jnz1568/getInfo.php?workbook=14_06.xlsx&amp;sheet=A0&amp;row=347&amp;col=7&amp;number=0&amp;sourceID=14","0")</f>
        <v>0</v>
      </c>
    </row>
    <row r="348" spans="1:7">
      <c r="A348" s="3">
        <v>14</v>
      </c>
      <c r="B348" s="3">
        <v>6</v>
      </c>
      <c r="C348" s="3">
        <v>35</v>
      </c>
      <c r="D348" s="3">
        <v>25</v>
      </c>
      <c r="E348" s="3">
        <v>-1087.514</v>
      </c>
      <c r="F348" s="4" t="str">
        <f>HYPERLINK("http://141.218.60.56/~jnz1568/getInfo.php?workbook=14_06.xlsx&amp;sheet=A0&amp;row=348&amp;col=6&amp;number=391000000&amp;sourceID=14","391000000")</f>
        <v>391000000</v>
      </c>
      <c r="G348" s="4" t="str">
        <f>HYPERLINK("http://141.218.60.56/~jnz1568/getInfo.php?workbook=14_06.xlsx&amp;sheet=A0&amp;row=348&amp;col=7&amp;number=0&amp;sourceID=14","0")</f>
        <v>0</v>
      </c>
    </row>
    <row r="349" spans="1:7">
      <c r="A349" s="3">
        <v>14</v>
      </c>
      <c r="B349" s="3">
        <v>6</v>
      </c>
      <c r="C349" s="3">
        <v>37</v>
      </c>
      <c r="D349" s="3">
        <v>25</v>
      </c>
      <c r="E349" s="3">
        <v>-1025.58</v>
      </c>
      <c r="F349" s="4" t="str">
        <f>HYPERLINK("http://141.218.60.56/~jnz1568/getInfo.php?workbook=14_06.xlsx&amp;sheet=A0&amp;row=349&amp;col=6&amp;number=223000000&amp;sourceID=14","223000000")</f>
        <v>223000000</v>
      </c>
      <c r="G349" s="4" t="str">
        <f>HYPERLINK("http://141.218.60.56/~jnz1568/getInfo.php?workbook=14_06.xlsx&amp;sheet=A0&amp;row=349&amp;col=7&amp;number=0&amp;sourceID=14","0")</f>
        <v>0</v>
      </c>
    </row>
    <row r="350" spans="1:7">
      <c r="A350" s="3">
        <v>14</v>
      </c>
      <c r="B350" s="3">
        <v>6</v>
      </c>
      <c r="C350" s="3">
        <v>39</v>
      </c>
      <c r="D350" s="3">
        <v>25</v>
      </c>
      <c r="E350" s="3">
        <v>-884.973</v>
      </c>
      <c r="F350" s="4" t="str">
        <f>HYPERLINK("http://141.218.60.56/~jnz1568/getInfo.php?workbook=14_06.xlsx&amp;sheet=A0&amp;row=350&amp;col=6&amp;number=127000000&amp;sourceID=14","127000000")</f>
        <v>127000000</v>
      </c>
      <c r="G350" s="4" t="str">
        <f>HYPERLINK("http://141.218.60.56/~jnz1568/getInfo.php?workbook=14_06.xlsx&amp;sheet=A0&amp;row=350&amp;col=7&amp;number=0&amp;sourceID=14","0")</f>
        <v>0</v>
      </c>
    </row>
    <row r="351" spans="1:7">
      <c r="A351" s="3">
        <v>14</v>
      </c>
      <c r="B351" s="3">
        <v>6</v>
      </c>
      <c r="C351" s="3">
        <v>40</v>
      </c>
      <c r="D351" s="3">
        <v>25</v>
      </c>
      <c r="E351" s="3">
        <v>-879.47</v>
      </c>
      <c r="F351" s="4" t="str">
        <f>HYPERLINK("http://141.218.60.56/~jnz1568/getInfo.php?workbook=14_06.xlsx&amp;sheet=A0&amp;row=351&amp;col=6&amp;number=8800000&amp;sourceID=14","8800000")</f>
        <v>8800000</v>
      </c>
      <c r="G351" s="4" t="str">
        <f>HYPERLINK("http://141.218.60.56/~jnz1568/getInfo.php?workbook=14_06.xlsx&amp;sheet=A0&amp;row=351&amp;col=7&amp;number=0&amp;sourceID=14","0")</f>
        <v>0</v>
      </c>
    </row>
    <row r="352" spans="1:7">
      <c r="A352" s="3">
        <v>14</v>
      </c>
      <c r="B352" s="3">
        <v>6</v>
      </c>
      <c r="C352" s="3">
        <v>42</v>
      </c>
      <c r="D352" s="3">
        <v>25</v>
      </c>
      <c r="E352" s="3">
        <v>-836.01</v>
      </c>
      <c r="F352" s="4" t="str">
        <f>HYPERLINK("http://141.218.60.56/~jnz1568/getInfo.php?workbook=14_06.xlsx&amp;sheet=A0&amp;row=352&amp;col=6&amp;number=2670000&amp;sourceID=14","2670000")</f>
        <v>2670000</v>
      </c>
      <c r="G352" s="4" t="str">
        <f>HYPERLINK("http://141.218.60.56/~jnz1568/getInfo.php?workbook=14_06.xlsx&amp;sheet=A0&amp;row=352&amp;col=7&amp;number=0&amp;sourceID=14","0")</f>
        <v>0</v>
      </c>
    </row>
    <row r="353" spans="1:7">
      <c r="A353" s="3">
        <v>14</v>
      </c>
      <c r="B353" s="3">
        <v>6</v>
      </c>
      <c r="C353" s="3">
        <v>43</v>
      </c>
      <c r="D353" s="3">
        <v>25</v>
      </c>
      <c r="E353" s="3">
        <v>-828.969</v>
      </c>
      <c r="F353" s="4" t="str">
        <f>HYPERLINK("http://141.218.60.56/~jnz1568/getInfo.php?workbook=14_06.xlsx&amp;sheet=A0&amp;row=353&amp;col=6&amp;number=12500000&amp;sourceID=14","12500000")</f>
        <v>12500000</v>
      </c>
      <c r="G353" s="4" t="str">
        <f>HYPERLINK("http://141.218.60.56/~jnz1568/getInfo.php?workbook=14_06.xlsx&amp;sheet=A0&amp;row=353&amp;col=7&amp;number=0&amp;sourceID=14","0")</f>
        <v>0</v>
      </c>
    </row>
    <row r="354" spans="1:7">
      <c r="A354" s="3">
        <v>14</v>
      </c>
      <c r="B354" s="3">
        <v>6</v>
      </c>
      <c r="C354" s="3">
        <v>44</v>
      </c>
      <c r="D354" s="3">
        <v>25</v>
      </c>
      <c r="E354" s="3">
        <v>-825.445</v>
      </c>
      <c r="F354" s="4" t="str">
        <f>HYPERLINK("http://141.218.60.56/~jnz1568/getInfo.php?workbook=14_06.xlsx&amp;sheet=A0&amp;row=354&amp;col=6&amp;number=3540000&amp;sourceID=14","3540000")</f>
        <v>3540000</v>
      </c>
      <c r="G354" s="4" t="str">
        <f>HYPERLINK("http://141.218.60.56/~jnz1568/getInfo.php?workbook=14_06.xlsx&amp;sheet=A0&amp;row=354&amp;col=7&amp;number=0&amp;sourceID=14","0")</f>
        <v>0</v>
      </c>
    </row>
    <row r="355" spans="1:7">
      <c r="A355" s="3">
        <v>14</v>
      </c>
      <c r="B355" s="3">
        <v>6</v>
      </c>
      <c r="C355" s="3">
        <v>45</v>
      </c>
      <c r="D355" s="3">
        <v>25</v>
      </c>
      <c r="E355" s="3">
        <v>-687.584</v>
      </c>
      <c r="F355" s="4" t="str">
        <f>HYPERLINK("http://141.218.60.56/~jnz1568/getInfo.php?workbook=14_06.xlsx&amp;sheet=A0&amp;row=355&amp;col=6&amp;number=856000000&amp;sourceID=14","856000000")</f>
        <v>856000000</v>
      </c>
      <c r="G355" s="4" t="str">
        <f>HYPERLINK("http://141.218.60.56/~jnz1568/getInfo.php?workbook=14_06.xlsx&amp;sheet=A0&amp;row=355&amp;col=7&amp;number=0&amp;sourceID=14","0")</f>
        <v>0</v>
      </c>
    </row>
    <row r="356" spans="1:7">
      <c r="A356" s="3">
        <v>14</v>
      </c>
      <c r="B356" s="3">
        <v>6</v>
      </c>
      <c r="C356" s="3">
        <v>35</v>
      </c>
      <c r="D356" s="3">
        <v>26</v>
      </c>
      <c r="E356" s="3">
        <v>-1161.078</v>
      </c>
      <c r="F356" s="4" t="str">
        <f>HYPERLINK("http://141.218.60.56/~jnz1568/getInfo.php?workbook=14_06.xlsx&amp;sheet=A0&amp;row=356&amp;col=6&amp;number=199000000&amp;sourceID=14","199000000")</f>
        <v>199000000</v>
      </c>
      <c r="G356" s="4" t="str">
        <f>HYPERLINK("http://141.218.60.56/~jnz1568/getInfo.php?workbook=14_06.xlsx&amp;sheet=A0&amp;row=356&amp;col=7&amp;number=0&amp;sourceID=14","0")</f>
        <v>0</v>
      </c>
    </row>
    <row r="357" spans="1:7">
      <c r="A357" s="3">
        <v>14</v>
      </c>
      <c r="B357" s="3">
        <v>6</v>
      </c>
      <c r="C357" s="3">
        <v>37</v>
      </c>
      <c r="D357" s="3">
        <v>26</v>
      </c>
      <c r="E357" s="3">
        <v>-1090.752</v>
      </c>
      <c r="F357" s="4" t="str">
        <f>HYPERLINK("http://141.218.60.56/~jnz1568/getInfo.php?workbook=14_06.xlsx&amp;sheet=A0&amp;row=357&amp;col=6&amp;number=399000000&amp;sourceID=14","399000000")</f>
        <v>399000000</v>
      </c>
      <c r="G357" s="4" t="str">
        <f>HYPERLINK("http://141.218.60.56/~jnz1568/getInfo.php?workbook=14_06.xlsx&amp;sheet=A0&amp;row=357&amp;col=7&amp;number=0&amp;sourceID=14","0")</f>
        <v>0</v>
      </c>
    </row>
    <row r="358" spans="1:7">
      <c r="A358" s="3">
        <v>14</v>
      </c>
      <c r="B358" s="3">
        <v>6</v>
      </c>
      <c r="C358" s="3">
        <v>39</v>
      </c>
      <c r="D358" s="3">
        <v>26</v>
      </c>
      <c r="E358" s="3">
        <v>-933.081</v>
      </c>
      <c r="F358" s="4" t="str">
        <f>HYPERLINK("http://141.218.60.56/~jnz1568/getInfo.php?workbook=14_06.xlsx&amp;sheet=A0&amp;row=358&amp;col=6&amp;number=120000000&amp;sourceID=14","120000000")</f>
        <v>120000000</v>
      </c>
      <c r="G358" s="4" t="str">
        <f>HYPERLINK("http://141.218.60.56/~jnz1568/getInfo.php?workbook=14_06.xlsx&amp;sheet=A0&amp;row=358&amp;col=7&amp;number=0&amp;sourceID=14","0")</f>
        <v>0</v>
      </c>
    </row>
    <row r="359" spans="1:7">
      <c r="A359" s="3">
        <v>14</v>
      </c>
      <c r="B359" s="3">
        <v>6</v>
      </c>
      <c r="C359" s="3">
        <v>40</v>
      </c>
      <c r="D359" s="3">
        <v>26</v>
      </c>
      <c r="E359" s="3">
        <v>-926.966</v>
      </c>
      <c r="F359" s="4" t="str">
        <f>HYPERLINK("http://141.218.60.56/~jnz1568/getInfo.php?workbook=14_06.xlsx&amp;sheet=A0&amp;row=359&amp;col=6&amp;number=19300000&amp;sourceID=14","19300000")</f>
        <v>19300000</v>
      </c>
      <c r="G359" s="4" t="str">
        <f>HYPERLINK("http://141.218.60.56/~jnz1568/getInfo.php?workbook=14_06.xlsx&amp;sheet=A0&amp;row=359&amp;col=7&amp;number=0&amp;sourceID=14","0")</f>
        <v>0</v>
      </c>
    </row>
    <row r="360" spans="1:7">
      <c r="A360" s="3">
        <v>14</v>
      </c>
      <c r="B360" s="3">
        <v>6</v>
      </c>
      <c r="C360" s="3">
        <v>43</v>
      </c>
      <c r="D360" s="3">
        <v>26</v>
      </c>
      <c r="E360" s="3">
        <v>-871.036</v>
      </c>
      <c r="F360" s="4" t="str">
        <f>HYPERLINK("http://141.218.60.56/~jnz1568/getInfo.php?workbook=14_06.xlsx&amp;sheet=A0&amp;row=360&amp;col=6&amp;number=4270000&amp;sourceID=14","4270000")</f>
        <v>4270000</v>
      </c>
      <c r="G360" s="4" t="str">
        <f>HYPERLINK("http://141.218.60.56/~jnz1568/getInfo.php?workbook=14_06.xlsx&amp;sheet=A0&amp;row=360&amp;col=7&amp;number=0&amp;sourceID=14","0")</f>
        <v>0</v>
      </c>
    </row>
    <row r="361" spans="1:7">
      <c r="A361" s="3">
        <v>14</v>
      </c>
      <c r="B361" s="3">
        <v>6</v>
      </c>
      <c r="C361" s="3">
        <v>44</v>
      </c>
      <c r="D361" s="3">
        <v>26</v>
      </c>
      <c r="E361" s="3">
        <v>-867.146</v>
      </c>
      <c r="F361" s="4" t="str">
        <f>HYPERLINK("http://141.218.60.56/~jnz1568/getInfo.php?workbook=14_06.xlsx&amp;sheet=A0&amp;row=361&amp;col=6&amp;number=87500000&amp;sourceID=14","87500000")</f>
        <v>87500000</v>
      </c>
      <c r="G361" s="4" t="str">
        <f>HYPERLINK("http://141.218.60.56/~jnz1568/getInfo.php?workbook=14_06.xlsx&amp;sheet=A0&amp;row=361&amp;col=7&amp;number=0&amp;sourceID=14","0")</f>
        <v>0</v>
      </c>
    </row>
    <row r="362" spans="1:7">
      <c r="A362" s="3">
        <v>14</v>
      </c>
      <c r="B362" s="3">
        <v>6</v>
      </c>
      <c r="C362" s="3">
        <v>45</v>
      </c>
      <c r="D362" s="3">
        <v>26</v>
      </c>
      <c r="E362" s="3">
        <v>-716.277</v>
      </c>
      <c r="F362" s="4" t="str">
        <f>HYPERLINK("http://141.218.60.56/~jnz1568/getInfo.php?workbook=14_06.xlsx&amp;sheet=A0&amp;row=362&amp;col=6&amp;number=294000000&amp;sourceID=14","294000000")</f>
        <v>294000000</v>
      </c>
      <c r="G362" s="4" t="str">
        <f>HYPERLINK("http://141.218.60.56/~jnz1568/getInfo.php?workbook=14_06.xlsx&amp;sheet=A0&amp;row=362&amp;col=7&amp;number=0&amp;sourceID=14","0")</f>
        <v>0</v>
      </c>
    </row>
    <row r="363" spans="1:7">
      <c r="A363" s="3">
        <v>14</v>
      </c>
      <c r="B363" s="3">
        <v>6</v>
      </c>
      <c r="C363" s="3">
        <v>35</v>
      </c>
      <c r="D363" s="3">
        <v>27</v>
      </c>
      <c r="E363" s="3">
        <v>-1179.122</v>
      </c>
      <c r="F363" s="4" t="str">
        <f>HYPERLINK("http://141.218.60.56/~jnz1568/getInfo.php?workbook=14_06.xlsx&amp;sheet=A0&amp;row=363&amp;col=6&amp;number=72600000&amp;sourceID=14","72600000")</f>
        <v>72600000</v>
      </c>
      <c r="G363" s="4" t="str">
        <f>HYPERLINK("http://141.218.60.56/~jnz1568/getInfo.php?workbook=14_06.xlsx&amp;sheet=A0&amp;row=363&amp;col=7&amp;number=0&amp;sourceID=14","0")</f>
        <v>0</v>
      </c>
    </row>
    <row r="364" spans="1:7">
      <c r="A364" s="3">
        <v>14</v>
      </c>
      <c r="B364" s="3">
        <v>6</v>
      </c>
      <c r="C364" s="3">
        <v>36</v>
      </c>
      <c r="D364" s="3">
        <v>27</v>
      </c>
      <c r="E364" s="3">
        <v>-1136.353</v>
      </c>
      <c r="F364" s="4" t="str">
        <f>HYPERLINK("http://141.218.60.56/~jnz1568/getInfo.php?workbook=14_06.xlsx&amp;sheet=A0&amp;row=364&amp;col=6&amp;number=609000000&amp;sourceID=14","609000000")</f>
        <v>609000000</v>
      </c>
      <c r="G364" s="4" t="str">
        <f>HYPERLINK("http://141.218.60.56/~jnz1568/getInfo.php?workbook=14_06.xlsx&amp;sheet=A0&amp;row=364&amp;col=7&amp;number=0&amp;sourceID=14","0")</f>
        <v>0</v>
      </c>
    </row>
    <row r="365" spans="1:7">
      <c r="A365" s="3">
        <v>14</v>
      </c>
      <c r="B365" s="3">
        <v>6</v>
      </c>
      <c r="C365" s="3">
        <v>37</v>
      </c>
      <c r="D365" s="3">
        <v>27</v>
      </c>
      <c r="E365" s="3">
        <v>-1106.662</v>
      </c>
      <c r="F365" s="4" t="str">
        <f>HYPERLINK("http://141.218.60.56/~jnz1568/getInfo.php?workbook=14_06.xlsx&amp;sheet=A0&amp;row=365&amp;col=6&amp;number=6090000&amp;sourceID=14","6090000")</f>
        <v>6090000</v>
      </c>
      <c r="G365" s="4" t="str">
        <f>HYPERLINK("http://141.218.60.56/~jnz1568/getInfo.php?workbook=14_06.xlsx&amp;sheet=A0&amp;row=365&amp;col=7&amp;number=0&amp;sourceID=14","0")</f>
        <v>0</v>
      </c>
    </row>
    <row r="366" spans="1:7">
      <c r="A366" s="3">
        <v>14</v>
      </c>
      <c r="B366" s="3">
        <v>6</v>
      </c>
      <c r="C366" s="3">
        <v>39</v>
      </c>
      <c r="D366" s="3">
        <v>27</v>
      </c>
      <c r="E366" s="3">
        <v>-944.699</v>
      </c>
      <c r="F366" s="4" t="str">
        <f>HYPERLINK("http://141.218.60.56/~jnz1568/getInfo.php?workbook=14_06.xlsx&amp;sheet=A0&amp;row=366&amp;col=6&amp;number=37500000&amp;sourceID=14","37500000")</f>
        <v>37500000</v>
      </c>
      <c r="G366" s="4" t="str">
        <f>HYPERLINK("http://141.218.60.56/~jnz1568/getInfo.php?workbook=14_06.xlsx&amp;sheet=A0&amp;row=366&amp;col=7&amp;number=0&amp;sourceID=14","0")</f>
        <v>0</v>
      </c>
    </row>
    <row r="367" spans="1:7">
      <c r="A367" s="3">
        <v>14</v>
      </c>
      <c r="B367" s="3">
        <v>6</v>
      </c>
      <c r="C367" s="3">
        <v>40</v>
      </c>
      <c r="D367" s="3">
        <v>27</v>
      </c>
      <c r="E367" s="3">
        <v>-938.431</v>
      </c>
      <c r="F367" s="4" t="str">
        <f>HYPERLINK("http://141.218.60.56/~jnz1568/getInfo.php?workbook=14_06.xlsx&amp;sheet=A0&amp;row=367&amp;col=6&amp;number=220000000&amp;sourceID=14","220000000")</f>
        <v>220000000</v>
      </c>
      <c r="G367" s="4" t="str">
        <f>HYPERLINK("http://141.218.60.56/~jnz1568/getInfo.php?workbook=14_06.xlsx&amp;sheet=A0&amp;row=367&amp;col=7&amp;number=0&amp;sourceID=14","0")</f>
        <v>0</v>
      </c>
    </row>
    <row r="368" spans="1:7">
      <c r="A368" s="3">
        <v>14</v>
      </c>
      <c r="B368" s="3">
        <v>6</v>
      </c>
      <c r="C368" s="3">
        <v>41</v>
      </c>
      <c r="D368" s="3">
        <v>27</v>
      </c>
      <c r="E368" s="3">
        <v>-917.669</v>
      </c>
      <c r="F368" s="4" t="str">
        <f>HYPERLINK("http://141.218.60.56/~jnz1568/getInfo.php?workbook=14_06.xlsx&amp;sheet=A0&amp;row=368&amp;col=6&amp;number=16600000&amp;sourceID=14","16600000")</f>
        <v>16600000</v>
      </c>
      <c r="G368" s="4" t="str">
        <f>HYPERLINK("http://141.218.60.56/~jnz1568/getInfo.php?workbook=14_06.xlsx&amp;sheet=A0&amp;row=368&amp;col=7&amp;number=0&amp;sourceID=14","0")</f>
        <v>0</v>
      </c>
    </row>
    <row r="369" spans="1:7">
      <c r="A369" s="3">
        <v>14</v>
      </c>
      <c r="B369" s="3">
        <v>6</v>
      </c>
      <c r="C369" s="3">
        <v>42</v>
      </c>
      <c r="D369" s="3">
        <v>27</v>
      </c>
      <c r="E369" s="3">
        <v>-889.112</v>
      </c>
      <c r="F369" s="4" t="str">
        <f>HYPERLINK("http://141.218.60.56/~jnz1568/getInfo.php?workbook=14_06.xlsx&amp;sheet=A0&amp;row=369&amp;col=6&amp;number=8940000&amp;sourceID=14","8940000")</f>
        <v>8940000</v>
      </c>
      <c r="G369" s="4" t="str">
        <f>HYPERLINK("http://141.218.60.56/~jnz1568/getInfo.php?workbook=14_06.xlsx&amp;sheet=A0&amp;row=369&amp;col=7&amp;number=0&amp;sourceID=14","0")</f>
        <v>0</v>
      </c>
    </row>
    <row r="370" spans="1:7">
      <c r="A370" s="3">
        <v>14</v>
      </c>
      <c r="B370" s="3">
        <v>6</v>
      </c>
      <c r="C370" s="3">
        <v>43</v>
      </c>
      <c r="D370" s="3">
        <v>27</v>
      </c>
      <c r="E370" s="3">
        <v>-881.152</v>
      </c>
      <c r="F370" s="4" t="str">
        <f>HYPERLINK("http://141.218.60.56/~jnz1568/getInfo.php?workbook=14_06.xlsx&amp;sheet=A0&amp;row=370&amp;col=6&amp;number=86400000&amp;sourceID=14","86400000")</f>
        <v>86400000</v>
      </c>
      <c r="G370" s="4" t="str">
        <f>HYPERLINK("http://141.218.60.56/~jnz1568/getInfo.php?workbook=14_06.xlsx&amp;sheet=A0&amp;row=370&amp;col=7&amp;number=0&amp;sourceID=14","0")</f>
        <v>0</v>
      </c>
    </row>
    <row r="371" spans="1:7">
      <c r="A371" s="3">
        <v>14</v>
      </c>
      <c r="B371" s="3">
        <v>6</v>
      </c>
      <c r="C371" s="3">
        <v>35</v>
      </c>
      <c r="D371" s="3">
        <v>28</v>
      </c>
      <c r="E371" s="3">
        <v>-1242.238</v>
      </c>
      <c r="F371" s="4" t="str">
        <f>HYPERLINK("http://141.218.60.56/~jnz1568/getInfo.php?workbook=14_06.xlsx&amp;sheet=A0&amp;row=371&amp;col=6&amp;number=953000&amp;sourceID=14","953000")</f>
        <v>953000</v>
      </c>
      <c r="G371" s="4" t="str">
        <f>HYPERLINK("http://141.218.60.56/~jnz1568/getInfo.php?workbook=14_06.xlsx&amp;sheet=A0&amp;row=371&amp;col=7&amp;number=0&amp;sourceID=14","0")</f>
        <v>0</v>
      </c>
    </row>
    <row r="372" spans="1:7">
      <c r="A372" s="3">
        <v>14</v>
      </c>
      <c r="B372" s="3">
        <v>6</v>
      </c>
      <c r="C372" s="3">
        <v>36</v>
      </c>
      <c r="D372" s="3">
        <v>28</v>
      </c>
      <c r="E372" s="3">
        <v>-1194.86</v>
      </c>
      <c r="F372" s="4" t="str">
        <f>HYPERLINK("http://141.218.60.56/~jnz1568/getInfo.php?workbook=14_06.xlsx&amp;sheet=A0&amp;row=372&amp;col=6&amp;number=45900000&amp;sourceID=14","45900000")</f>
        <v>45900000</v>
      </c>
      <c r="G372" s="4" t="str">
        <f>HYPERLINK("http://141.218.60.56/~jnz1568/getInfo.php?workbook=14_06.xlsx&amp;sheet=A0&amp;row=372&amp;col=7&amp;number=0&amp;sourceID=14","0")</f>
        <v>0</v>
      </c>
    </row>
    <row r="373" spans="1:7">
      <c r="A373" s="3">
        <v>14</v>
      </c>
      <c r="B373" s="3">
        <v>6</v>
      </c>
      <c r="C373" s="3">
        <v>37</v>
      </c>
      <c r="D373" s="3">
        <v>28</v>
      </c>
      <c r="E373" s="3">
        <v>-1162.077</v>
      </c>
      <c r="F373" s="4" t="str">
        <f>HYPERLINK("http://141.218.60.56/~jnz1568/getInfo.php?workbook=14_06.xlsx&amp;sheet=A0&amp;row=373&amp;col=6&amp;number=695000&amp;sourceID=14","695000")</f>
        <v>695000</v>
      </c>
      <c r="G373" s="4" t="str">
        <f>HYPERLINK("http://141.218.60.56/~jnz1568/getInfo.php?workbook=14_06.xlsx&amp;sheet=A0&amp;row=373&amp;col=7&amp;number=0&amp;sourceID=14","0")</f>
        <v>0</v>
      </c>
    </row>
    <row r="374" spans="1:7">
      <c r="A374" s="3">
        <v>14</v>
      </c>
      <c r="B374" s="3">
        <v>6</v>
      </c>
      <c r="C374" s="3">
        <v>38</v>
      </c>
      <c r="D374" s="3">
        <v>28</v>
      </c>
      <c r="E374" s="3">
        <v>-1146.752</v>
      </c>
      <c r="F374" s="4" t="str">
        <f>HYPERLINK("http://141.218.60.56/~jnz1568/getInfo.php?workbook=14_06.xlsx&amp;sheet=A0&amp;row=374&amp;col=6&amp;number=645000000&amp;sourceID=14","645000000")</f>
        <v>645000000</v>
      </c>
      <c r="G374" s="4" t="str">
        <f>HYPERLINK("http://141.218.60.56/~jnz1568/getInfo.php?workbook=14_06.xlsx&amp;sheet=A0&amp;row=374&amp;col=7&amp;number=0&amp;sourceID=14","0")</f>
        <v>0</v>
      </c>
    </row>
    <row r="375" spans="1:7">
      <c r="A375" s="3">
        <v>14</v>
      </c>
      <c r="B375" s="3">
        <v>6</v>
      </c>
      <c r="C375" s="3">
        <v>40</v>
      </c>
      <c r="D375" s="3">
        <v>28</v>
      </c>
      <c r="E375" s="3">
        <v>-977.978</v>
      </c>
      <c r="F375" s="4" t="str">
        <f>HYPERLINK("http://141.218.60.56/~jnz1568/getInfo.php?workbook=14_06.xlsx&amp;sheet=A0&amp;row=375&amp;col=6&amp;number=6920000&amp;sourceID=14","6920000")</f>
        <v>6920000</v>
      </c>
      <c r="G375" s="4" t="str">
        <f>HYPERLINK("http://141.218.60.56/~jnz1568/getInfo.php?workbook=14_06.xlsx&amp;sheet=A0&amp;row=375&amp;col=7&amp;number=0&amp;sourceID=14","0")</f>
        <v>0</v>
      </c>
    </row>
    <row r="376" spans="1:7">
      <c r="A376" s="3">
        <v>14</v>
      </c>
      <c r="B376" s="3">
        <v>6</v>
      </c>
      <c r="C376" s="3">
        <v>41</v>
      </c>
      <c r="D376" s="3">
        <v>28</v>
      </c>
      <c r="E376" s="3">
        <v>-955.449</v>
      </c>
      <c r="F376" s="4" t="str">
        <f>HYPERLINK("http://141.218.60.56/~jnz1568/getInfo.php?workbook=14_06.xlsx&amp;sheet=A0&amp;row=376&amp;col=6&amp;number=282000000&amp;sourceID=14","282000000")</f>
        <v>282000000</v>
      </c>
      <c r="G376" s="4" t="str">
        <f>HYPERLINK("http://141.218.60.56/~jnz1568/getInfo.php?workbook=14_06.xlsx&amp;sheet=A0&amp;row=376&amp;col=7&amp;number=0&amp;sourceID=14","0")</f>
        <v>0</v>
      </c>
    </row>
    <row r="377" spans="1:7">
      <c r="A377" s="3">
        <v>14</v>
      </c>
      <c r="B377" s="3">
        <v>6</v>
      </c>
      <c r="C377" s="3">
        <v>42</v>
      </c>
      <c r="D377" s="3">
        <v>28</v>
      </c>
      <c r="E377" s="3">
        <v>-924.532</v>
      </c>
      <c r="F377" s="4" t="str">
        <f>HYPERLINK("http://141.218.60.56/~jnz1568/getInfo.php?workbook=14_06.xlsx&amp;sheet=A0&amp;row=377&amp;col=6&amp;number=102000000&amp;sourceID=14","102000000")</f>
        <v>102000000</v>
      </c>
      <c r="G377" s="4" t="str">
        <f>HYPERLINK("http://141.218.60.56/~jnz1568/getInfo.php?workbook=14_06.xlsx&amp;sheet=A0&amp;row=377&amp;col=7&amp;number=0&amp;sourceID=14","0")</f>
        <v>0</v>
      </c>
    </row>
    <row r="378" spans="1:7">
      <c r="A378" s="3">
        <v>14</v>
      </c>
      <c r="B378" s="3">
        <v>6</v>
      </c>
      <c r="C378" s="3">
        <v>39</v>
      </c>
      <c r="D378" s="3">
        <v>29</v>
      </c>
      <c r="E378" s="3">
        <v>-1067.5</v>
      </c>
      <c r="F378" s="4" t="str">
        <f>HYPERLINK("http://141.218.60.56/~jnz1568/getInfo.php?workbook=14_06.xlsx&amp;sheet=A0&amp;row=378&amp;col=6&amp;number=56600000&amp;sourceID=14","56600000")</f>
        <v>56600000</v>
      </c>
      <c r="G378" s="4" t="str">
        <f>HYPERLINK("http://141.218.60.56/~jnz1568/getInfo.php?workbook=14_06.xlsx&amp;sheet=A0&amp;row=378&amp;col=7&amp;number=0&amp;sourceID=14","0")</f>
        <v>0</v>
      </c>
    </row>
    <row r="379" spans="1:7">
      <c r="A379" s="3">
        <v>14</v>
      </c>
      <c r="B379" s="3">
        <v>6</v>
      </c>
      <c r="C379" s="3">
        <v>40</v>
      </c>
      <c r="D379" s="3">
        <v>29</v>
      </c>
      <c r="E379" s="3">
        <v>-1059.504</v>
      </c>
      <c r="F379" s="4" t="str">
        <f>HYPERLINK("http://141.218.60.56/~jnz1568/getInfo.php?workbook=14_06.xlsx&amp;sheet=A0&amp;row=379&amp;col=6&amp;number=157000000&amp;sourceID=14","157000000")</f>
        <v>157000000</v>
      </c>
      <c r="G379" s="4" t="str">
        <f>HYPERLINK("http://141.218.60.56/~jnz1568/getInfo.php?workbook=14_06.xlsx&amp;sheet=A0&amp;row=379&amp;col=7&amp;number=0&amp;sourceID=14","0")</f>
        <v>0</v>
      </c>
    </row>
    <row r="380" spans="1:7">
      <c r="A380" s="3">
        <v>14</v>
      </c>
      <c r="B380" s="3">
        <v>6</v>
      </c>
      <c r="C380" s="3">
        <v>42</v>
      </c>
      <c r="D380" s="3">
        <v>29</v>
      </c>
      <c r="E380" s="3">
        <v>-997.061</v>
      </c>
      <c r="F380" s="4" t="str">
        <f>HYPERLINK("http://141.218.60.56/~jnz1568/getInfo.php?workbook=14_06.xlsx&amp;sheet=A0&amp;row=380&amp;col=6&amp;number=456000000&amp;sourceID=14","456000000")</f>
        <v>456000000</v>
      </c>
      <c r="G380" s="4" t="str">
        <f>HYPERLINK("http://141.218.60.56/~jnz1568/getInfo.php?workbook=14_06.xlsx&amp;sheet=A0&amp;row=380&amp;col=7&amp;number=0&amp;sourceID=14","0")</f>
        <v>0</v>
      </c>
    </row>
    <row r="381" spans="1:7">
      <c r="A381" s="3">
        <v>14</v>
      </c>
      <c r="B381" s="3">
        <v>6</v>
      </c>
      <c r="C381" s="3">
        <v>43</v>
      </c>
      <c r="D381" s="3">
        <v>29</v>
      </c>
      <c r="E381" s="3">
        <v>-987.062</v>
      </c>
      <c r="F381" s="4" t="str">
        <f>HYPERLINK("http://141.218.60.56/~jnz1568/getInfo.php?workbook=14_06.xlsx&amp;sheet=A0&amp;row=381&amp;col=6&amp;number=468000000&amp;sourceID=14","468000000")</f>
        <v>468000000</v>
      </c>
      <c r="G381" s="4" t="str">
        <f>HYPERLINK("http://141.218.60.56/~jnz1568/getInfo.php?workbook=14_06.xlsx&amp;sheet=A0&amp;row=381&amp;col=7&amp;number=0&amp;sourceID=14","0")</f>
        <v>0</v>
      </c>
    </row>
    <row r="382" spans="1:7">
      <c r="A382" s="3">
        <v>14</v>
      </c>
      <c r="B382" s="3">
        <v>6</v>
      </c>
      <c r="C382" s="3">
        <v>44</v>
      </c>
      <c r="D382" s="3">
        <v>29</v>
      </c>
      <c r="E382" s="3">
        <v>-982.069</v>
      </c>
      <c r="F382" s="4" t="str">
        <f>HYPERLINK("http://141.218.60.56/~jnz1568/getInfo.php?workbook=14_06.xlsx&amp;sheet=A0&amp;row=382&amp;col=6&amp;number=487000000&amp;sourceID=14","487000000")</f>
        <v>487000000</v>
      </c>
      <c r="G382" s="4" t="str">
        <f>HYPERLINK("http://141.218.60.56/~jnz1568/getInfo.php?workbook=14_06.xlsx&amp;sheet=A0&amp;row=382&amp;col=7&amp;number=0&amp;sourceID=14","0")</f>
        <v>0</v>
      </c>
    </row>
    <row r="383" spans="1:7">
      <c r="A383" s="3">
        <v>14</v>
      </c>
      <c r="B383" s="3">
        <v>6</v>
      </c>
      <c r="C383" s="3">
        <v>45</v>
      </c>
      <c r="D383" s="3">
        <v>29</v>
      </c>
      <c r="E383" s="3">
        <v>-792.922</v>
      </c>
      <c r="F383" s="4" t="str">
        <f>HYPERLINK("http://141.218.60.56/~jnz1568/getInfo.php?workbook=14_06.xlsx&amp;sheet=A0&amp;row=383&amp;col=6&amp;number=38600000&amp;sourceID=14","38600000")</f>
        <v>38600000</v>
      </c>
      <c r="G383" s="4" t="str">
        <f>HYPERLINK("http://141.218.60.56/~jnz1568/getInfo.php?workbook=14_06.xlsx&amp;sheet=A0&amp;row=383&amp;col=7&amp;number=0&amp;sourceID=14","0")</f>
        <v>0</v>
      </c>
    </row>
    <row r="384" spans="1:7">
      <c r="A384" s="3">
        <v>14</v>
      </c>
      <c r="B384" s="3">
        <v>6</v>
      </c>
      <c r="C384" s="3">
        <v>39</v>
      </c>
      <c r="D384" s="3">
        <v>30</v>
      </c>
      <c r="E384" s="3">
        <v>-1252.633</v>
      </c>
      <c r="F384" s="4" t="str">
        <f>HYPERLINK("http://141.218.60.56/~jnz1568/getInfo.php?workbook=14_06.xlsx&amp;sheet=A0&amp;row=384&amp;col=6&amp;number=256000000&amp;sourceID=14","256000000")</f>
        <v>256000000</v>
      </c>
      <c r="G384" s="4" t="str">
        <f>HYPERLINK("http://141.218.60.56/~jnz1568/getInfo.php?workbook=14_06.xlsx&amp;sheet=A0&amp;row=384&amp;col=7&amp;number=0&amp;sourceID=14","0")</f>
        <v>0</v>
      </c>
    </row>
    <row r="385" spans="1:7">
      <c r="A385" s="3">
        <v>14</v>
      </c>
      <c r="B385" s="3">
        <v>6</v>
      </c>
      <c r="C385" s="3">
        <v>43</v>
      </c>
      <c r="D385" s="3">
        <v>30</v>
      </c>
      <c r="E385" s="3">
        <v>-1143.303</v>
      </c>
      <c r="F385" s="4" t="str">
        <f>HYPERLINK("http://141.218.60.56/~jnz1568/getInfo.php?workbook=14_06.xlsx&amp;sheet=A0&amp;row=385&amp;col=6&amp;number=14600000&amp;sourceID=14","14600000")</f>
        <v>14600000</v>
      </c>
      <c r="G385" s="4" t="str">
        <f>HYPERLINK("http://141.218.60.56/~jnz1568/getInfo.php?workbook=14_06.xlsx&amp;sheet=A0&amp;row=385&amp;col=7&amp;number=0&amp;sourceID=14","0")</f>
        <v>0</v>
      </c>
    </row>
    <row r="386" spans="1:7">
      <c r="A386" s="3">
        <v>14</v>
      </c>
      <c r="B386" s="3">
        <v>6</v>
      </c>
      <c r="C386" s="3">
        <v>37</v>
      </c>
      <c r="D386" s="3">
        <v>31</v>
      </c>
      <c r="E386" s="3">
        <v>-1603.698</v>
      </c>
      <c r="F386" s="4" t="str">
        <f>HYPERLINK("http://141.218.60.56/~jnz1568/getInfo.php?workbook=14_06.xlsx&amp;sheet=A0&amp;row=386&amp;col=6&amp;number=658000&amp;sourceID=14","658000")</f>
        <v>658000</v>
      </c>
      <c r="G386" s="4" t="str">
        <f>HYPERLINK("http://141.218.60.56/~jnz1568/getInfo.php?workbook=14_06.xlsx&amp;sheet=A0&amp;row=386&amp;col=7&amp;number=0&amp;sourceID=14","0")</f>
        <v>0</v>
      </c>
    </row>
    <row r="387" spans="1:7">
      <c r="A387" s="3">
        <v>14</v>
      </c>
      <c r="B387" s="3">
        <v>6</v>
      </c>
      <c r="C387" s="3">
        <v>39</v>
      </c>
      <c r="D387" s="3">
        <v>31</v>
      </c>
      <c r="E387" s="3">
        <v>-1284.557</v>
      </c>
      <c r="F387" s="4" t="str">
        <f>HYPERLINK("http://141.218.60.56/~jnz1568/getInfo.php?workbook=14_06.xlsx&amp;sheet=A0&amp;row=387&amp;col=6&amp;number=90800000&amp;sourceID=14","90800000")</f>
        <v>90800000</v>
      </c>
      <c r="G387" s="4" t="str">
        <f>HYPERLINK("http://141.218.60.56/~jnz1568/getInfo.php?workbook=14_06.xlsx&amp;sheet=A0&amp;row=387&amp;col=7&amp;number=0&amp;sourceID=14","0")</f>
        <v>0</v>
      </c>
    </row>
    <row r="388" spans="1:7">
      <c r="A388" s="3">
        <v>14</v>
      </c>
      <c r="B388" s="3">
        <v>6</v>
      </c>
      <c r="C388" s="3">
        <v>40</v>
      </c>
      <c r="D388" s="3">
        <v>31</v>
      </c>
      <c r="E388" s="3">
        <v>-1272.996</v>
      </c>
      <c r="F388" s="4" t="str">
        <f>HYPERLINK("http://141.218.60.56/~jnz1568/getInfo.php?workbook=14_06.xlsx&amp;sheet=A0&amp;row=388&amp;col=6&amp;number=266000000&amp;sourceID=14","266000000")</f>
        <v>266000000</v>
      </c>
      <c r="G388" s="4" t="str">
        <f>HYPERLINK("http://141.218.60.56/~jnz1568/getInfo.php?workbook=14_06.xlsx&amp;sheet=A0&amp;row=388&amp;col=7&amp;number=0&amp;sourceID=14","0")</f>
        <v>0</v>
      </c>
    </row>
    <row r="389" spans="1:7">
      <c r="A389" s="3">
        <v>14</v>
      </c>
      <c r="B389" s="3">
        <v>6</v>
      </c>
      <c r="C389" s="3">
        <v>42</v>
      </c>
      <c r="D389" s="3">
        <v>31</v>
      </c>
      <c r="E389" s="3">
        <v>-1183.91</v>
      </c>
      <c r="F389" s="4" t="str">
        <f>HYPERLINK("http://141.218.60.56/~jnz1568/getInfo.php?workbook=14_06.xlsx&amp;sheet=A0&amp;row=389&amp;col=6&amp;number=14200000&amp;sourceID=14","14200000")</f>
        <v>14200000</v>
      </c>
      <c r="G389" s="4" t="str">
        <f>HYPERLINK("http://141.218.60.56/~jnz1568/getInfo.php?workbook=14_06.xlsx&amp;sheet=A0&amp;row=389&amp;col=7&amp;number=0&amp;sourceID=14","0")</f>
        <v>0</v>
      </c>
    </row>
    <row r="390" spans="1:7">
      <c r="A390" s="3">
        <v>14</v>
      </c>
      <c r="B390" s="3">
        <v>6</v>
      </c>
      <c r="C390" s="3">
        <v>43</v>
      </c>
      <c r="D390" s="3">
        <v>31</v>
      </c>
      <c r="E390" s="3">
        <v>-1169.839</v>
      </c>
      <c r="F390" s="4" t="str">
        <f>HYPERLINK("http://141.218.60.56/~jnz1568/getInfo.php?workbook=14_06.xlsx&amp;sheet=A0&amp;row=390&amp;col=6&amp;number=169000000&amp;sourceID=14","169000000")</f>
        <v>169000000</v>
      </c>
      <c r="G390" s="4" t="str">
        <f>HYPERLINK("http://141.218.60.56/~jnz1568/getInfo.php?workbook=14_06.xlsx&amp;sheet=A0&amp;row=390&amp;col=7&amp;number=0&amp;sourceID=14","0")</f>
        <v>0</v>
      </c>
    </row>
    <row r="391" spans="1:7">
      <c r="A391" s="3">
        <v>14</v>
      </c>
      <c r="B391" s="3">
        <v>6</v>
      </c>
      <c r="C391" s="3">
        <v>44</v>
      </c>
      <c r="D391" s="3">
        <v>31</v>
      </c>
      <c r="E391" s="3">
        <v>-1162.833</v>
      </c>
      <c r="F391" s="4" t="str">
        <f>HYPERLINK("http://141.218.60.56/~jnz1568/getInfo.php?workbook=14_06.xlsx&amp;sheet=A0&amp;row=391&amp;col=6&amp;number=296000000&amp;sourceID=14","296000000")</f>
        <v>296000000</v>
      </c>
      <c r="G391" s="4" t="str">
        <f>HYPERLINK("http://141.218.60.56/~jnz1568/getInfo.php?workbook=14_06.xlsx&amp;sheet=A0&amp;row=391&amp;col=7&amp;number=0&amp;sourceID=14","0")</f>
        <v>0</v>
      </c>
    </row>
    <row r="392" spans="1:7">
      <c r="A392" s="3">
        <v>14</v>
      </c>
      <c r="B392" s="3">
        <v>6</v>
      </c>
      <c r="C392" s="3">
        <v>45</v>
      </c>
      <c r="D392" s="3">
        <v>31</v>
      </c>
      <c r="E392" s="3">
        <v>-906.727</v>
      </c>
      <c r="F392" s="4" t="str">
        <f>HYPERLINK("http://141.218.60.56/~jnz1568/getInfo.php?workbook=14_06.xlsx&amp;sheet=A0&amp;row=392&amp;col=6&amp;number=2660000&amp;sourceID=14","2660000")</f>
        <v>2660000</v>
      </c>
      <c r="G392" s="4" t="str">
        <f>HYPERLINK("http://141.218.60.56/~jnz1568/getInfo.php?workbook=14_06.xlsx&amp;sheet=A0&amp;row=392&amp;col=7&amp;number=0&amp;sourceID=14","0")</f>
        <v>0</v>
      </c>
    </row>
    <row r="393" spans="1:7">
      <c r="A393" s="3">
        <v>14</v>
      </c>
      <c r="B393" s="3">
        <v>6</v>
      </c>
      <c r="C393" s="3">
        <v>35</v>
      </c>
      <c r="D393" s="3">
        <v>32</v>
      </c>
      <c r="E393" s="3">
        <v>-1833.52</v>
      </c>
      <c r="F393" s="4" t="str">
        <f>HYPERLINK("http://141.218.60.56/~jnz1568/getInfo.php?workbook=14_06.xlsx&amp;sheet=A0&amp;row=393&amp;col=6&amp;number=257000&amp;sourceID=14","257000")</f>
        <v>257000</v>
      </c>
      <c r="G393" s="4" t="str">
        <f>HYPERLINK("http://141.218.60.56/~jnz1568/getInfo.php?workbook=14_06.xlsx&amp;sheet=A0&amp;row=393&amp;col=7&amp;number=0&amp;sourceID=14","0")</f>
        <v>0</v>
      </c>
    </row>
    <row r="394" spans="1:7">
      <c r="A394" s="3">
        <v>14</v>
      </c>
      <c r="B394" s="3">
        <v>6</v>
      </c>
      <c r="C394" s="3">
        <v>36</v>
      </c>
      <c r="D394" s="3">
        <v>32</v>
      </c>
      <c r="E394" s="3">
        <v>-1732.145</v>
      </c>
      <c r="F394" s="4" t="str">
        <f>HYPERLINK("http://141.218.60.56/~jnz1568/getInfo.php?workbook=14_06.xlsx&amp;sheet=A0&amp;row=394&amp;col=6&amp;number=281000&amp;sourceID=14","281000")</f>
        <v>281000</v>
      </c>
      <c r="G394" s="4" t="str">
        <f>HYPERLINK("http://141.218.60.56/~jnz1568/getInfo.php?workbook=14_06.xlsx&amp;sheet=A0&amp;row=394&amp;col=7&amp;number=0&amp;sourceID=14","0")</f>
        <v>0</v>
      </c>
    </row>
    <row r="395" spans="1:7">
      <c r="A395" s="3">
        <v>14</v>
      </c>
      <c r="B395" s="3">
        <v>6</v>
      </c>
      <c r="C395" s="3">
        <v>37</v>
      </c>
      <c r="D395" s="3">
        <v>32</v>
      </c>
      <c r="E395" s="3">
        <v>-1664.091</v>
      </c>
      <c r="F395" s="4" t="str">
        <f>HYPERLINK("http://141.218.60.56/~jnz1568/getInfo.php?workbook=14_06.xlsx&amp;sheet=A0&amp;row=395&amp;col=6&amp;number=946000&amp;sourceID=14","946000")</f>
        <v>946000</v>
      </c>
      <c r="G395" s="4" t="str">
        <f>HYPERLINK("http://141.218.60.56/~jnz1568/getInfo.php?workbook=14_06.xlsx&amp;sheet=A0&amp;row=395&amp;col=7&amp;number=0&amp;sourceID=14","0")</f>
        <v>0</v>
      </c>
    </row>
    <row r="396" spans="1:7">
      <c r="A396" s="3">
        <v>14</v>
      </c>
      <c r="B396" s="3">
        <v>6</v>
      </c>
      <c r="C396" s="3">
        <v>40</v>
      </c>
      <c r="D396" s="3">
        <v>32</v>
      </c>
      <c r="E396" s="3">
        <v>-1310.756</v>
      </c>
      <c r="F396" s="4" t="str">
        <f>HYPERLINK("http://141.218.60.56/~jnz1568/getInfo.php?workbook=14_06.xlsx&amp;sheet=A0&amp;row=396&amp;col=6&amp;number=15900000&amp;sourceID=14","15900000")</f>
        <v>15900000</v>
      </c>
      <c r="G396" s="4" t="str">
        <f>HYPERLINK("http://141.218.60.56/~jnz1568/getInfo.php?workbook=14_06.xlsx&amp;sheet=A0&amp;row=396&amp;col=7&amp;number=0&amp;sourceID=14","0")</f>
        <v>0</v>
      </c>
    </row>
    <row r="397" spans="1:7">
      <c r="A397" s="3">
        <v>14</v>
      </c>
      <c r="B397" s="3">
        <v>6</v>
      </c>
      <c r="C397" s="3">
        <v>41</v>
      </c>
      <c r="D397" s="3">
        <v>32</v>
      </c>
      <c r="E397" s="3">
        <v>-1270.602</v>
      </c>
      <c r="F397" s="4" t="str">
        <f>HYPERLINK("http://141.218.60.56/~jnz1568/getInfo.php?workbook=14_06.xlsx&amp;sheet=A0&amp;row=397&amp;col=6&amp;number=353000000&amp;sourceID=14","353000000")</f>
        <v>353000000</v>
      </c>
      <c r="G397" s="4" t="str">
        <f>HYPERLINK("http://141.218.60.56/~jnz1568/getInfo.php?workbook=14_06.xlsx&amp;sheet=A0&amp;row=397&amp;col=7&amp;number=0&amp;sourceID=14","0")</f>
        <v>0</v>
      </c>
    </row>
    <row r="398" spans="1:7">
      <c r="A398" s="3">
        <v>14</v>
      </c>
      <c r="B398" s="3">
        <v>6</v>
      </c>
      <c r="C398" s="3">
        <v>42</v>
      </c>
      <c r="D398" s="3">
        <v>32</v>
      </c>
      <c r="E398" s="3">
        <v>-1216.503</v>
      </c>
      <c r="F398" s="4" t="str">
        <f>HYPERLINK("http://141.218.60.56/~jnz1568/getInfo.php?workbook=14_06.xlsx&amp;sheet=A0&amp;row=398&amp;col=6&amp;number=228000000&amp;sourceID=14","228000000")</f>
        <v>228000000</v>
      </c>
      <c r="G398" s="4" t="str">
        <f>HYPERLINK("http://141.218.60.56/~jnz1568/getInfo.php?workbook=14_06.xlsx&amp;sheet=A0&amp;row=398&amp;col=7&amp;number=0&amp;sourceID=14","0")</f>
        <v>0</v>
      </c>
    </row>
    <row r="399" spans="1:7">
      <c r="A399" s="3">
        <v>14</v>
      </c>
      <c r="B399" s="3">
        <v>6</v>
      </c>
      <c r="C399" s="3">
        <v>43</v>
      </c>
      <c r="D399" s="3">
        <v>32</v>
      </c>
      <c r="E399" s="3">
        <v>-1201.651</v>
      </c>
      <c r="F399" s="4" t="str">
        <f>HYPERLINK("http://141.218.60.56/~jnz1568/getInfo.php?workbook=14_06.xlsx&amp;sheet=A0&amp;row=399&amp;col=6&amp;number=99300000&amp;sourceID=14","99300000")</f>
        <v>99300000</v>
      </c>
      <c r="G399" s="4" t="str">
        <f>HYPERLINK("http://141.218.60.56/~jnz1568/getInfo.php?workbook=14_06.xlsx&amp;sheet=A0&amp;row=399&amp;col=7&amp;number=0&amp;sourceID=14","0")</f>
        <v>0</v>
      </c>
    </row>
    <row r="400" spans="1:7">
      <c r="A400" s="3">
        <v>14</v>
      </c>
      <c r="B400" s="3">
        <v>6</v>
      </c>
      <c r="C400" s="3">
        <v>46</v>
      </c>
      <c r="D400" s="3">
        <v>32</v>
      </c>
      <c r="E400" s="3">
        <v>-916.113</v>
      </c>
      <c r="F400" s="4" t="str">
        <f>HYPERLINK("http://141.218.60.56/~jnz1568/getInfo.php?workbook=14_06.xlsx&amp;sheet=A0&amp;row=400&amp;col=6&amp;number=4540000&amp;sourceID=14","4540000")</f>
        <v>4540000</v>
      </c>
      <c r="G400" s="4" t="str">
        <f>HYPERLINK("http://141.218.60.56/~jnz1568/getInfo.php?workbook=14_06.xlsx&amp;sheet=A0&amp;row=400&amp;col=7&amp;number=0&amp;sourceID=14","0")</f>
        <v>0</v>
      </c>
    </row>
    <row r="401" spans="1:7">
      <c r="A401" s="3">
        <v>14</v>
      </c>
      <c r="B401" s="3">
        <v>6</v>
      </c>
      <c r="C401" s="3">
        <v>35</v>
      </c>
      <c r="D401" s="3">
        <v>33</v>
      </c>
      <c r="E401" s="3">
        <v>-2663.405</v>
      </c>
      <c r="F401" s="4" t="str">
        <f>HYPERLINK("http://141.218.60.56/~jnz1568/getInfo.php?workbook=14_06.xlsx&amp;sheet=A0&amp;row=401&amp;col=6&amp;number=1900000&amp;sourceID=14","1900000")</f>
        <v>1900000</v>
      </c>
      <c r="G401" s="4" t="str">
        <f>HYPERLINK("http://141.218.60.56/~jnz1568/getInfo.php?workbook=14_06.xlsx&amp;sheet=A0&amp;row=401&amp;col=7&amp;number=0&amp;sourceID=14","0")</f>
        <v>0</v>
      </c>
    </row>
    <row r="402" spans="1:7">
      <c r="A402" s="3">
        <v>14</v>
      </c>
      <c r="B402" s="3">
        <v>6</v>
      </c>
      <c r="C402" s="3">
        <v>37</v>
      </c>
      <c r="D402" s="3">
        <v>33</v>
      </c>
      <c r="E402" s="3">
        <v>-2320.244</v>
      </c>
      <c r="F402" s="4" t="str">
        <f>HYPERLINK("http://141.218.60.56/~jnz1568/getInfo.php?workbook=14_06.xlsx&amp;sheet=A0&amp;row=402&amp;col=6&amp;number=15800000&amp;sourceID=14","15800000")</f>
        <v>15800000</v>
      </c>
      <c r="G402" s="4" t="str">
        <f>HYPERLINK("http://141.218.60.56/~jnz1568/getInfo.php?workbook=14_06.xlsx&amp;sheet=A0&amp;row=402&amp;col=7&amp;number=0&amp;sourceID=14","0")</f>
        <v>0</v>
      </c>
    </row>
    <row r="403" spans="1:7">
      <c r="A403" s="3">
        <v>14</v>
      </c>
      <c r="B403" s="3">
        <v>6</v>
      </c>
      <c r="C403" s="3">
        <v>42</v>
      </c>
      <c r="D403" s="3">
        <v>33</v>
      </c>
      <c r="E403" s="3">
        <v>-1533.533</v>
      </c>
      <c r="F403" s="4" t="str">
        <f>HYPERLINK("http://141.218.60.56/~jnz1568/getInfo.php?workbook=14_06.xlsx&amp;sheet=A0&amp;row=403&amp;col=6&amp;number=2740000&amp;sourceID=14","2740000")</f>
        <v>2740000</v>
      </c>
      <c r="G403" s="4" t="str">
        <f>HYPERLINK("http://141.218.60.56/~jnz1568/getInfo.php?workbook=14_06.xlsx&amp;sheet=A0&amp;row=403&amp;col=7&amp;number=0&amp;sourceID=14","0")</f>
        <v>0</v>
      </c>
    </row>
    <row r="404" spans="1:7">
      <c r="A404" s="3">
        <v>14</v>
      </c>
      <c r="B404" s="3">
        <v>6</v>
      </c>
      <c r="C404" s="3">
        <v>45</v>
      </c>
      <c r="D404" s="3">
        <v>33</v>
      </c>
      <c r="E404" s="3">
        <v>-1098.541</v>
      </c>
      <c r="F404" s="4" t="str">
        <f>HYPERLINK("http://141.218.60.56/~jnz1568/getInfo.php?workbook=14_06.xlsx&amp;sheet=A0&amp;row=404&amp;col=6&amp;number=19800000&amp;sourceID=14","19800000")</f>
        <v>19800000</v>
      </c>
      <c r="G404" s="4" t="str">
        <f>HYPERLINK("http://141.218.60.56/~jnz1568/getInfo.php?workbook=14_06.xlsx&amp;sheet=A0&amp;row=404&amp;col=7&amp;number=0&amp;sourceID=14","0")</f>
        <v>0</v>
      </c>
    </row>
    <row r="405" spans="1:7">
      <c r="A405" s="3">
        <v>14</v>
      </c>
      <c r="B405" s="3">
        <v>6</v>
      </c>
      <c r="C405" s="3">
        <v>46</v>
      </c>
      <c r="D405" s="3">
        <v>33</v>
      </c>
      <c r="E405" s="3">
        <v>-1085.036</v>
      </c>
      <c r="F405" s="4" t="str">
        <f>HYPERLINK("http://141.218.60.56/~jnz1568/getInfo.php?workbook=14_06.xlsx&amp;sheet=A0&amp;row=405&amp;col=6&amp;number=765000000&amp;sourceID=14","765000000")</f>
        <v>765000000</v>
      </c>
      <c r="G405" s="4" t="str">
        <f>HYPERLINK("http://141.218.60.56/~jnz1568/getInfo.php?workbook=14_06.xlsx&amp;sheet=A0&amp;row=405&amp;col=7&amp;number=0&amp;sourceID=14","0")</f>
        <v>0</v>
      </c>
    </row>
    <row r="406" spans="1:7">
      <c r="A406" s="3">
        <v>14</v>
      </c>
      <c r="B406" s="3">
        <v>6</v>
      </c>
      <c r="C406" s="3">
        <v>45</v>
      </c>
      <c r="D406" s="3">
        <v>34</v>
      </c>
      <c r="E406" s="3">
        <v>-1570.231</v>
      </c>
      <c r="F406" s="4" t="str">
        <f>HYPERLINK("http://141.218.60.56/~jnz1568/getInfo.php?workbook=14_06.xlsx&amp;sheet=A0&amp;row=406&amp;col=6&amp;number=138000000&amp;sourceID=14","138000000")</f>
        <v>138000000</v>
      </c>
      <c r="G406" s="4" t="str">
        <f>HYPERLINK("http://141.218.60.56/~jnz1568/getInfo.php?workbook=14_06.xlsx&amp;sheet=A0&amp;row=406&amp;col=7&amp;number=0&amp;sourceID=14","0")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2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33</v>
      </c>
      <c r="F3" s="2" t="s">
        <v>34</v>
      </c>
      <c r="G3" s="2" t="s">
        <v>35</v>
      </c>
    </row>
    <row r="4" spans="1:7">
      <c r="A4" s="3">
        <v>14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HYPERLINK("http://141.218.60.56/~jnz1568/getInfo.php?workbook=14_06.xlsx&amp;sheet=U0&amp;row=4&amp;col=6&amp;number=3&amp;sourceID=14","3")</f>
        <v>3</v>
      </c>
      <c r="G4" s="4" t="str">
        <f>HYPERLINK("http://141.218.60.56/~jnz1568/getInfo.php?workbook=14_06.xlsx&amp;sheet=U0&amp;row=4&amp;col=7&amp;number=0.481&amp;sourceID=14","0.481")</f>
        <v>0.481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HYPERLINK("http://141.218.60.56/~jnz1568/getInfo.php?workbook=14_06.xlsx&amp;sheet=U0&amp;row=5&amp;col=6&amp;number=3.1&amp;sourceID=14","3.1")</f>
        <v>3.1</v>
      </c>
      <c r="G5" s="4" t="str">
        <f>HYPERLINK("http://141.218.60.56/~jnz1568/getInfo.php?workbook=14_06.xlsx&amp;sheet=U0&amp;row=5&amp;col=7&amp;number=0.481&amp;sourceID=14","0.481")</f>
        <v>0.481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HYPERLINK("http://141.218.60.56/~jnz1568/getInfo.php?workbook=14_06.xlsx&amp;sheet=U0&amp;row=6&amp;col=6&amp;number=3.2&amp;sourceID=14","3.2")</f>
        <v>3.2</v>
      </c>
      <c r="G6" s="4" t="str">
        <f>HYPERLINK("http://141.218.60.56/~jnz1568/getInfo.php?workbook=14_06.xlsx&amp;sheet=U0&amp;row=6&amp;col=7&amp;number=0.48&amp;sourceID=14","0.48")</f>
        <v>0.48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HYPERLINK("http://141.218.60.56/~jnz1568/getInfo.php?workbook=14_06.xlsx&amp;sheet=U0&amp;row=7&amp;col=6&amp;number=3.3&amp;sourceID=14","3.3")</f>
        <v>3.3</v>
      </c>
      <c r="G7" s="4" t="str">
        <f>HYPERLINK("http://141.218.60.56/~jnz1568/getInfo.php?workbook=14_06.xlsx&amp;sheet=U0&amp;row=7&amp;col=7&amp;number=0.48&amp;sourceID=14","0.48")</f>
        <v>0.48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HYPERLINK("http://141.218.60.56/~jnz1568/getInfo.php?workbook=14_06.xlsx&amp;sheet=U0&amp;row=8&amp;col=6&amp;number=3.4&amp;sourceID=14","3.4")</f>
        <v>3.4</v>
      </c>
      <c r="G8" s="4" t="str">
        <f>HYPERLINK("http://141.218.60.56/~jnz1568/getInfo.php?workbook=14_06.xlsx&amp;sheet=U0&amp;row=8&amp;col=7&amp;number=0.48&amp;sourceID=14","0.48")</f>
        <v>0.48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HYPERLINK("http://141.218.60.56/~jnz1568/getInfo.php?workbook=14_06.xlsx&amp;sheet=U0&amp;row=9&amp;col=6&amp;number=3.5&amp;sourceID=14","3.5")</f>
        <v>3.5</v>
      </c>
      <c r="G9" s="4" t="str">
        <f>HYPERLINK("http://141.218.60.56/~jnz1568/getInfo.php?workbook=14_06.xlsx&amp;sheet=U0&amp;row=9&amp;col=7&amp;number=0.479&amp;sourceID=14","0.479")</f>
        <v>0.479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HYPERLINK("http://141.218.60.56/~jnz1568/getInfo.php?workbook=14_06.xlsx&amp;sheet=U0&amp;row=10&amp;col=6&amp;number=3.6&amp;sourceID=14","3.6")</f>
        <v>3.6</v>
      </c>
      <c r="G10" s="4" t="str">
        <f>HYPERLINK("http://141.218.60.56/~jnz1568/getInfo.php?workbook=14_06.xlsx&amp;sheet=U0&amp;row=10&amp;col=7&amp;number=0.478&amp;sourceID=14","0.478")</f>
        <v>0.478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HYPERLINK("http://141.218.60.56/~jnz1568/getInfo.php?workbook=14_06.xlsx&amp;sheet=U0&amp;row=11&amp;col=6&amp;number=3.7&amp;sourceID=14","3.7")</f>
        <v>3.7</v>
      </c>
      <c r="G11" s="4" t="str">
        <f>HYPERLINK("http://141.218.60.56/~jnz1568/getInfo.php?workbook=14_06.xlsx&amp;sheet=U0&amp;row=11&amp;col=7&amp;number=0.477&amp;sourceID=14","0.477")</f>
        <v>0.477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HYPERLINK("http://141.218.60.56/~jnz1568/getInfo.php?workbook=14_06.xlsx&amp;sheet=U0&amp;row=12&amp;col=6&amp;number=3.8&amp;sourceID=14","3.8")</f>
        <v>3.8</v>
      </c>
      <c r="G12" s="4" t="str">
        <f>HYPERLINK("http://141.218.60.56/~jnz1568/getInfo.php?workbook=14_06.xlsx&amp;sheet=U0&amp;row=12&amp;col=7&amp;number=0.476&amp;sourceID=14","0.476")</f>
        <v>0.476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HYPERLINK("http://141.218.60.56/~jnz1568/getInfo.php?workbook=14_06.xlsx&amp;sheet=U0&amp;row=13&amp;col=6&amp;number=3.9&amp;sourceID=14","3.9")</f>
        <v>3.9</v>
      </c>
      <c r="G13" s="4" t="str">
        <f>HYPERLINK("http://141.218.60.56/~jnz1568/getInfo.php?workbook=14_06.xlsx&amp;sheet=U0&amp;row=13&amp;col=7&amp;number=0.475&amp;sourceID=14","0.475")</f>
        <v>0.475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HYPERLINK("http://141.218.60.56/~jnz1568/getInfo.php?workbook=14_06.xlsx&amp;sheet=U0&amp;row=14&amp;col=6&amp;number=4&amp;sourceID=14","4")</f>
        <v>4</v>
      </c>
      <c r="G14" s="4" t="str">
        <f>HYPERLINK("http://141.218.60.56/~jnz1568/getInfo.php?workbook=14_06.xlsx&amp;sheet=U0&amp;row=14&amp;col=7&amp;number=0.473&amp;sourceID=14","0.473")</f>
        <v>0.473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HYPERLINK("http://141.218.60.56/~jnz1568/getInfo.php?workbook=14_06.xlsx&amp;sheet=U0&amp;row=15&amp;col=6&amp;number=4.1&amp;sourceID=14","4.1")</f>
        <v>4.1</v>
      </c>
      <c r="G15" s="4" t="str">
        <f>HYPERLINK("http://141.218.60.56/~jnz1568/getInfo.php?workbook=14_06.xlsx&amp;sheet=U0&amp;row=15&amp;col=7&amp;number=0.471&amp;sourceID=14","0.471")</f>
        <v>0.471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HYPERLINK("http://141.218.60.56/~jnz1568/getInfo.php?workbook=14_06.xlsx&amp;sheet=U0&amp;row=16&amp;col=6&amp;number=4.2&amp;sourceID=14","4.2")</f>
        <v>4.2</v>
      </c>
      <c r="G16" s="4" t="str">
        <f>HYPERLINK("http://141.218.60.56/~jnz1568/getInfo.php?workbook=14_06.xlsx&amp;sheet=U0&amp;row=16&amp;col=7&amp;number=0.469&amp;sourceID=14","0.469")</f>
        <v>0.469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HYPERLINK("http://141.218.60.56/~jnz1568/getInfo.php?workbook=14_06.xlsx&amp;sheet=U0&amp;row=17&amp;col=6&amp;number=4.3&amp;sourceID=14","4.3")</f>
        <v>4.3</v>
      </c>
      <c r="G17" s="4" t="str">
        <f>HYPERLINK("http://141.218.60.56/~jnz1568/getInfo.php?workbook=14_06.xlsx&amp;sheet=U0&amp;row=17&amp;col=7&amp;number=0.465&amp;sourceID=14","0.465")</f>
        <v>0.465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HYPERLINK("http://141.218.60.56/~jnz1568/getInfo.php?workbook=14_06.xlsx&amp;sheet=U0&amp;row=18&amp;col=6&amp;number=4.4&amp;sourceID=14","4.4")</f>
        <v>4.4</v>
      </c>
      <c r="G18" s="4" t="str">
        <f>HYPERLINK("http://141.218.60.56/~jnz1568/getInfo.php?workbook=14_06.xlsx&amp;sheet=U0&amp;row=18&amp;col=7&amp;number=0.461&amp;sourceID=14","0.461")</f>
        <v>0.461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HYPERLINK("http://141.218.60.56/~jnz1568/getInfo.php?workbook=14_06.xlsx&amp;sheet=U0&amp;row=19&amp;col=6&amp;number=4.5&amp;sourceID=14","4.5")</f>
        <v>4.5</v>
      </c>
      <c r="G19" s="4" t="str">
        <f>HYPERLINK("http://141.218.60.56/~jnz1568/getInfo.php?workbook=14_06.xlsx&amp;sheet=U0&amp;row=19&amp;col=7&amp;number=0.456&amp;sourceID=14","0.456")</f>
        <v>0.456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HYPERLINK("http://141.218.60.56/~jnz1568/getInfo.php?workbook=14_06.xlsx&amp;sheet=U0&amp;row=20&amp;col=6&amp;number=4.6&amp;sourceID=14","4.6")</f>
        <v>4.6</v>
      </c>
      <c r="G20" s="4" t="str">
        <f>HYPERLINK("http://141.218.60.56/~jnz1568/getInfo.php?workbook=14_06.xlsx&amp;sheet=U0&amp;row=20&amp;col=7&amp;number=0.45&amp;sourceID=14","0.45")</f>
        <v>0.45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HYPERLINK("http://141.218.60.56/~jnz1568/getInfo.php?workbook=14_06.xlsx&amp;sheet=U0&amp;row=21&amp;col=6&amp;number=4.7&amp;sourceID=14","4.7")</f>
        <v>4.7</v>
      </c>
      <c r="G21" s="4" t="str">
        <f>HYPERLINK("http://141.218.60.56/~jnz1568/getInfo.php?workbook=14_06.xlsx&amp;sheet=U0&amp;row=21&amp;col=7&amp;number=0.442&amp;sourceID=14","0.442")</f>
        <v>0.442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HYPERLINK("http://141.218.60.56/~jnz1568/getInfo.php?workbook=14_06.xlsx&amp;sheet=U0&amp;row=22&amp;col=6&amp;number=4.8&amp;sourceID=14","4.8")</f>
        <v>4.8</v>
      </c>
      <c r="G22" s="4" t="str">
        <f>HYPERLINK("http://141.218.60.56/~jnz1568/getInfo.php?workbook=14_06.xlsx&amp;sheet=U0&amp;row=22&amp;col=7&amp;number=0.433&amp;sourceID=14","0.433")</f>
        <v>0.433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HYPERLINK("http://141.218.60.56/~jnz1568/getInfo.php?workbook=14_06.xlsx&amp;sheet=U0&amp;row=23&amp;col=6&amp;number=4.9&amp;sourceID=14","4.9")</f>
        <v>4.9</v>
      </c>
      <c r="G23" s="4" t="str">
        <f>HYPERLINK("http://141.218.60.56/~jnz1568/getInfo.php?workbook=14_06.xlsx&amp;sheet=U0&amp;row=23&amp;col=7&amp;number=0.421&amp;sourceID=14","0.421")</f>
        <v>0.421</v>
      </c>
    </row>
    <row r="24" spans="1:7">
      <c r="A24" s="3">
        <v>14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HYPERLINK("http://141.218.60.56/~jnz1568/getInfo.php?workbook=14_06.xlsx&amp;sheet=U0&amp;row=24&amp;col=6&amp;number=3&amp;sourceID=14","3")</f>
        <v>3</v>
      </c>
      <c r="G24" s="4" t="str">
        <f>HYPERLINK("http://141.218.60.56/~jnz1568/getInfo.php?workbook=14_06.xlsx&amp;sheet=U0&amp;row=24&amp;col=7&amp;number=0.324&amp;sourceID=14","0.324")</f>
        <v>0.324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HYPERLINK("http://141.218.60.56/~jnz1568/getInfo.php?workbook=14_06.xlsx&amp;sheet=U0&amp;row=25&amp;col=6&amp;number=3.1&amp;sourceID=14","3.1")</f>
        <v>3.1</v>
      </c>
      <c r="G25" s="4" t="str">
        <f>HYPERLINK("http://141.218.60.56/~jnz1568/getInfo.php?workbook=14_06.xlsx&amp;sheet=U0&amp;row=25&amp;col=7&amp;number=0.323&amp;sourceID=14","0.323")</f>
        <v>0.323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HYPERLINK("http://141.218.60.56/~jnz1568/getInfo.php?workbook=14_06.xlsx&amp;sheet=U0&amp;row=26&amp;col=6&amp;number=3.2&amp;sourceID=14","3.2")</f>
        <v>3.2</v>
      </c>
      <c r="G26" s="4" t="str">
        <f>HYPERLINK("http://141.218.60.56/~jnz1568/getInfo.php?workbook=14_06.xlsx&amp;sheet=U0&amp;row=26&amp;col=7&amp;number=0.323&amp;sourceID=14","0.323")</f>
        <v>0.323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HYPERLINK("http://141.218.60.56/~jnz1568/getInfo.php?workbook=14_06.xlsx&amp;sheet=U0&amp;row=27&amp;col=6&amp;number=3.3&amp;sourceID=14","3.3")</f>
        <v>3.3</v>
      </c>
      <c r="G27" s="4" t="str">
        <f>HYPERLINK("http://141.218.60.56/~jnz1568/getInfo.php?workbook=14_06.xlsx&amp;sheet=U0&amp;row=27&amp;col=7&amp;number=0.323&amp;sourceID=14","0.323")</f>
        <v>0.323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HYPERLINK("http://141.218.60.56/~jnz1568/getInfo.php?workbook=14_06.xlsx&amp;sheet=U0&amp;row=28&amp;col=6&amp;number=3.4&amp;sourceID=14","3.4")</f>
        <v>3.4</v>
      </c>
      <c r="G28" s="4" t="str">
        <f>HYPERLINK("http://141.218.60.56/~jnz1568/getInfo.php?workbook=14_06.xlsx&amp;sheet=U0&amp;row=28&amp;col=7&amp;number=0.323&amp;sourceID=14","0.323")</f>
        <v>0.323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HYPERLINK("http://141.218.60.56/~jnz1568/getInfo.php?workbook=14_06.xlsx&amp;sheet=U0&amp;row=29&amp;col=6&amp;number=3.5&amp;sourceID=14","3.5")</f>
        <v>3.5</v>
      </c>
      <c r="G29" s="4" t="str">
        <f>HYPERLINK("http://141.218.60.56/~jnz1568/getInfo.php?workbook=14_06.xlsx&amp;sheet=U0&amp;row=29&amp;col=7&amp;number=0.323&amp;sourceID=14","0.323")</f>
        <v>0.323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HYPERLINK("http://141.218.60.56/~jnz1568/getInfo.php?workbook=14_06.xlsx&amp;sheet=U0&amp;row=30&amp;col=6&amp;number=3.6&amp;sourceID=14","3.6")</f>
        <v>3.6</v>
      </c>
      <c r="G30" s="4" t="str">
        <f>HYPERLINK("http://141.218.60.56/~jnz1568/getInfo.php?workbook=14_06.xlsx&amp;sheet=U0&amp;row=30&amp;col=7&amp;number=0.322&amp;sourceID=14","0.322")</f>
        <v>0.322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HYPERLINK("http://141.218.60.56/~jnz1568/getInfo.php?workbook=14_06.xlsx&amp;sheet=U0&amp;row=31&amp;col=6&amp;number=3.7&amp;sourceID=14","3.7")</f>
        <v>3.7</v>
      </c>
      <c r="G31" s="4" t="str">
        <f>HYPERLINK("http://141.218.60.56/~jnz1568/getInfo.php?workbook=14_06.xlsx&amp;sheet=U0&amp;row=31&amp;col=7&amp;number=0.322&amp;sourceID=14","0.322")</f>
        <v>0.322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HYPERLINK("http://141.218.60.56/~jnz1568/getInfo.php?workbook=14_06.xlsx&amp;sheet=U0&amp;row=32&amp;col=6&amp;number=3.8&amp;sourceID=14","3.8")</f>
        <v>3.8</v>
      </c>
      <c r="G32" s="4" t="str">
        <f>HYPERLINK("http://141.218.60.56/~jnz1568/getInfo.php?workbook=14_06.xlsx&amp;sheet=U0&amp;row=32&amp;col=7&amp;number=0.321&amp;sourceID=14","0.321")</f>
        <v>0.321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HYPERLINK("http://141.218.60.56/~jnz1568/getInfo.php?workbook=14_06.xlsx&amp;sheet=U0&amp;row=33&amp;col=6&amp;number=3.9&amp;sourceID=14","3.9")</f>
        <v>3.9</v>
      </c>
      <c r="G33" s="4" t="str">
        <f>HYPERLINK("http://141.218.60.56/~jnz1568/getInfo.php?workbook=14_06.xlsx&amp;sheet=U0&amp;row=33&amp;col=7&amp;number=0.32&amp;sourceID=14","0.32")</f>
        <v>0.32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HYPERLINK("http://141.218.60.56/~jnz1568/getInfo.php?workbook=14_06.xlsx&amp;sheet=U0&amp;row=34&amp;col=6&amp;number=4&amp;sourceID=14","4")</f>
        <v>4</v>
      </c>
      <c r="G34" s="4" t="str">
        <f>HYPERLINK("http://141.218.60.56/~jnz1568/getInfo.php?workbook=14_06.xlsx&amp;sheet=U0&amp;row=34&amp;col=7&amp;number=0.319&amp;sourceID=14","0.319")</f>
        <v>0.319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HYPERLINK("http://141.218.60.56/~jnz1568/getInfo.php?workbook=14_06.xlsx&amp;sheet=U0&amp;row=35&amp;col=6&amp;number=4.1&amp;sourceID=14","4.1")</f>
        <v>4.1</v>
      </c>
      <c r="G35" s="4" t="str">
        <f>HYPERLINK("http://141.218.60.56/~jnz1568/getInfo.php?workbook=14_06.xlsx&amp;sheet=U0&amp;row=35&amp;col=7&amp;number=0.318&amp;sourceID=14","0.318")</f>
        <v>0.318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HYPERLINK("http://141.218.60.56/~jnz1568/getInfo.php?workbook=14_06.xlsx&amp;sheet=U0&amp;row=36&amp;col=6&amp;number=4.2&amp;sourceID=14","4.2")</f>
        <v>4.2</v>
      </c>
      <c r="G36" s="4" t="str">
        <f>HYPERLINK("http://141.218.60.56/~jnz1568/getInfo.php?workbook=14_06.xlsx&amp;sheet=U0&amp;row=36&amp;col=7&amp;number=0.317&amp;sourceID=14","0.317")</f>
        <v>0.317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HYPERLINK("http://141.218.60.56/~jnz1568/getInfo.php?workbook=14_06.xlsx&amp;sheet=U0&amp;row=37&amp;col=6&amp;number=4.3&amp;sourceID=14","4.3")</f>
        <v>4.3</v>
      </c>
      <c r="G37" s="4" t="str">
        <f>HYPERLINK("http://141.218.60.56/~jnz1568/getInfo.php?workbook=14_06.xlsx&amp;sheet=U0&amp;row=37&amp;col=7&amp;number=0.315&amp;sourceID=14","0.315")</f>
        <v>0.315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HYPERLINK("http://141.218.60.56/~jnz1568/getInfo.php?workbook=14_06.xlsx&amp;sheet=U0&amp;row=38&amp;col=6&amp;number=4.4&amp;sourceID=14","4.4")</f>
        <v>4.4</v>
      </c>
      <c r="G38" s="4" t="str">
        <f>HYPERLINK("http://141.218.60.56/~jnz1568/getInfo.php?workbook=14_06.xlsx&amp;sheet=U0&amp;row=38&amp;col=7&amp;number=0.312&amp;sourceID=14","0.312")</f>
        <v>0.312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HYPERLINK("http://141.218.60.56/~jnz1568/getInfo.php?workbook=14_06.xlsx&amp;sheet=U0&amp;row=39&amp;col=6&amp;number=4.5&amp;sourceID=14","4.5")</f>
        <v>4.5</v>
      </c>
      <c r="G39" s="4" t="str">
        <f>HYPERLINK("http://141.218.60.56/~jnz1568/getInfo.php?workbook=14_06.xlsx&amp;sheet=U0&amp;row=39&amp;col=7&amp;number=0.309&amp;sourceID=14","0.309")</f>
        <v>0.309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HYPERLINK("http://141.218.60.56/~jnz1568/getInfo.php?workbook=14_06.xlsx&amp;sheet=U0&amp;row=40&amp;col=6&amp;number=4.6&amp;sourceID=14","4.6")</f>
        <v>4.6</v>
      </c>
      <c r="G40" s="4" t="str">
        <f>HYPERLINK("http://141.218.60.56/~jnz1568/getInfo.php?workbook=14_06.xlsx&amp;sheet=U0&amp;row=40&amp;col=7&amp;number=0.306&amp;sourceID=14","0.306")</f>
        <v>0.306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HYPERLINK("http://141.218.60.56/~jnz1568/getInfo.php?workbook=14_06.xlsx&amp;sheet=U0&amp;row=41&amp;col=6&amp;number=4.7&amp;sourceID=14","4.7")</f>
        <v>4.7</v>
      </c>
      <c r="G41" s="4" t="str">
        <f>HYPERLINK("http://141.218.60.56/~jnz1568/getInfo.php?workbook=14_06.xlsx&amp;sheet=U0&amp;row=41&amp;col=7&amp;number=0.301&amp;sourceID=14","0.301")</f>
        <v>0.301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HYPERLINK("http://141.218.60.56/~jnz1568/getInfo.php?workbook=14_06.xlsx&amp;sheet=U0&amp;row=42&amp;col=6&amp;number=4.8&amp;sourceID=14","4.8")</f>
        <v>4.8</v>
      </c>
      <c r="G42" s="4" t="str">
        <f>HYPERLINK("http://141.218.60.56/~jnz1568/getInfo.php?workbook=14_06.xlsx&amp;sheet=U0&amp;row=42&amp;col=7&amp;number=0.296&amp;sourceID=14","0.296")</f>
        <v>0.296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HYPERLINK("http://141.218.60.56/~jnz1568/getInfo.php?workbook=14_06.xlsx&amp;sheet=U0&amp;row=43&amp;col=6&amp;number=4.9&amp;sourceID=14","4.9")</f>
        <v>4.9</v>
      </c>
      <c r="G43" s="4" t="str">
        <f>HYPERLINK("http://141.218.60.56/~jnz1568/getInfo.php?workbook=14_06.xlsx&amp;sheet=U0&amp;row=43&amp;col=7&amp;number=0.289&amp;sourceID=14","0.289")</f>
        <v>0.289</v>
      </c>
    </row>
    <row r="44" spans="1:7">
      <c r="A44" s="3">
        <v>14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HYPERLINK("http://141.218.60.56/~jnz1568/getInfo.php?workbook=14_06.xlsx&amp;sheet=U0&amp;row=44&amp;col=6&amp;number=3&amp;sourceID=14","3")</f>
        <v>3</v>
      </c>
      <c r="G44" s="4" t="str">
        <f>HYPERLINK("http://141.218.60.56/~jnz1568/getInfo.php?workbook=14_06.xlsx&amp;sheet=U0&amp;row=44&amp;col=7&amp;number=0.0809&amp;sourceID=14","0.0809")</f>
        <v>0.0809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HYPERLINK("http://141.218.60.56/~jnz1568/getInfo.php?workbook=14_06.xlsx&amp;sheet=U0&amp;row=45&amp;col=6&amp;number=3.1&amp;sourceID=14","3.1")</f>
        <v>3.1</v>
      </c>
      <c r="G45" s="4" t="str">
        <f>HYPERLINK("http://141.218.60.56/~jnz1568/getInfo.php?workbook=14_06.xlsx&amp;sheet=U0&amp;row=45&amp;col=7&amp;number=0.0808&amp;sourceID=14","0.0808")</f>
        <v>0.0808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HYPERLINK("http://141.218.60.56/~jnz1568/getInfo.php?workbook=14_06.xlsx&amp;sheet=U0&amp;row=46&amp;col=6&amp;number=3.2&amp;sourceID=14","3.2")</f>
        <v>3.2</v>
      </c>
      <c r="G46" s="4" t="str">
        <f>HYPERLINK("http://141.218.60.56/~jnz1568/getInfo.php?workbook=14_06.xlsx&amp;sheet=U0&amp;row=46&amp;col=7&amp;number=0.0808&amp;sourceID=14","0.0808")</f>
        <v>0.0808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HYPERLINK("http://141.218.60.56/~jnz1568/getInfo.php?workbook=14_06.xlsx&amp;sheet=U0&amp;row=47&amp;col=6&amp;number=3.3&amp;sourceID=14","3.3")</f>
        <v>3.3</v>
      </c>
      <c r="G47" s="4" t="str">
        <f>HYPERLINK("http://141.218.60.56/~jnz1568/getInfo.php?workbook=14_06.xlsx&amp;sheet=U0&amp;row=47&amp;col=7&amp;number=0.0808&amp;sourceID=14","0.0808")</f>
        <v>0.0808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HYPERLINK("http://141.218.60.56/~jnz1568/getInfo.php?workbook=14_06.xlsx&amp;sheet=U0&amp;row=48&amp;col=6&amp;number=3.4&amp;sourceID=14","3.4")</f>
        <v>3.4</v>
      </c>
      <c r="G48" s="4" t="str">
        <f>HYPERLINK("http://141.218.60.56/~jnz1568/getInfo.php?workbook=14_06.xlsx&amp;sheet=U0&amp;row=48&amp;col=7&amp;number=0.0808&amp;sourceID=14","0.0808")</f>
        <v>0.0808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HYPERLINK("http://141.218.60.56/~jnz1568/getInfo.php?workbook=14_06.xlsx&amp;sheet=U0&amp;row=49&amp;col=6&amp;number=3.5&amp;sourceID=14","3.5")</f>
        <v>3.5</v>
      </c>
      <c r="G49" s="4" t="str">
        <f>HYPERLINK("http://141.218.60.56/~jnz1568/getInfo.php?workbook=14_06.xlsx&amp;sheet=U0&amp;row=49&amp;col=7&amp;number=0.0807&amp;sourceID=14","0.0807")</f>
        <v>0.0807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HYPERLINK("http://141.218.60.56/~jnz1568/getInfo.php?workbook=14_06.xlsx&amp;sheet=U0&amp;row=50&amp;col=6&amp;number=3.6&amp;sourceID=14","3.6")</f>
        <v>3.6</v>
      </c>
      <c r="G50" s="4" t="str">
        <f>HYPERLINK("http://141.218.60.56/~jnz1568/getInfo.php?workbook=14_06.xlsx&amp;sheet=U0&amp;row=50&amp;col=7&amp;number=0.0807&amp;sourceID=14","0.0807")</f>
        <v>0.0807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HYPERLINK("http://141.218.60.56/~jnz1568/getInfo.php?workbook=14_06.xlsx&amp;sheet=U0&amp;row=51&amp;col=6&amp;number=3.7&amp;sourceID=14","3.7")</f>
        <v>3.7</v>
      </c>
      <c r="G51" s="4" t="str">
        <f>HYPERLINK("http://141.218.60.56/~jnz1568/getInfo.php?workbook=14_06.xlsx&amp;sheet=U0&amp;row=51&amp;col=7&amp;number=0.0806&amp;sourceID=14","0.0806")</f>
        <v>0.0806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HYPERLINK("http://141.218.60.56/~jnz1568/getInfo.php?workbook=14_06.xlsx&amp;sheet=U0&amp;row=52&amp;col=6&amp;number=3.8&amp;sourceID=14","3.8")</f>
        <v>3.8</v>
      </c>
      <c r="G52" s="4" t="str">
        <f>HYPERLINK("http://141.218.60.56/~jnz1568/getInfo.php?workbook=14_06.xlsx&amp;sheet=U0&amp;row=52&amp;col=7&amp;number=0.0805&amp;sourceID=14","0.0805")</f>
        <v>0.0805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HYPERLINK("http://141.218.60.56/~jnz1568/getInfo.php?workbook=14_06.xlsx&amp;sheet=U0&amp;row=53&amp;col=6&amp;number=3.9&amp;sourceID=14","3.9")</f>
        <v>3.9</v>
      </c>
      <c r="G53" s="4" t="str">
        <f>HYPERLINK("http://141.218.60.56/~jnz1568/getInfo.php?workbook=14_06.xlsx&amp;sheet=U0&amp;row=53&amp;col=7&amp;number=0.0804&amp;sourceID=14","0.0804")</f>
        <v>0.0804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HYPERLINK("http://141.218.60.56/~jnz1568/getInfo.php?workbook=14_06.xlsx&amp;sheet=U0&amp;row=54&amp;col=6&amp;number=4&amp;sourceID=14","4")</f>
        <v>4</v>
      </c>
      <c r="G54" s="4" t="str">
        <f>HYPERLINK("http://141.218.60.56/~jnz1568/getInfo.php?workbook=14_06.xlsx&amp;sheet=U0&amp;row=54&amp;col=7&amp;number=0.0803&amp;sourceID=14","0.0803")</f>
        <v>0.0803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HYPERLINK("http://141.218.60.56/~jnz1568/getInfo.php?workbook=14_06.xlsx&amp;sheet=U0&amp;row=55&amp;col=6&amp;number=4.1&amp;sourceID=14","4.1")</f>
        <v>4.1</v>
      </c>
      <c r="G55" s="4" t="str">
        <f>HYPERLINK("http://141.218.60.56/~jnz1568/getInfo.php?workbook=14_06.xlsx&amp;sheet=U0&amp;row=55&amp;col=7&amp;number=0.0801&amp;sourceID=14","0.0801")</f>
        <v>0.0801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HYPERLINK("http://141.218.60.56/~jnz1568/getInfo.php?workbook=14_06.xlsx&amp;sheet=U0&amp;row=56&amp;col=6&amp;number=4.2&amp;sourceID=14","4.2")</f>
        <v>4.2</v>
      </c>
      <c r="G56" s="4" t="str">
        <f>HYPERLINK("http://141.218.60.56/~jnz1568/getInfo.php?workbook=14_06.xlsx&amp;sheet=U0&amp;row=56&amp;col=7&amp;number=0.0799&amp;sourceID=14","0.0799")</f>
        <v>0.0799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HYPERLINK("http://141.218.60.56/~jnz1568/getInfo.php?workbook=14_06.xlsx&amp;sheet=U0&amp;row=57&amp;col=6&amp;number=4.3&amp;sourceID=14","4.3")</f>
        <v>4.3</v>
      </c>
      <c r="G57" s="4" t="str">
        <f>HYPERLINK("http://141.218.60.56/~jnz1568/getInfo.php?workbook=14_06.xlsx&amp;sheet=U0&amp;row=57&amp;col=7&amp;number=0.0797&amp;sourceID=14","0.0797")</f>
        <v>0.0797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HYPERLINK("http://141.218.60.56/~jnz1568/getInfo.php?workbook=14_06.xlsx&amp;sheet=U0&amp;row=58&amp;col=6&amp;number=4.4&amp;sourceID=14","4.4")</f>
        <v>4.4</v>
      </c>
      <c r="G58" s="4" t="str">
        <f>HYPERLINK("http://141.218.60.56/~jnz1568/getInfo.php?workbook=14_06.xlsx&amp;sheet=U0&amp;row=58&amp;col=7&amp;number=0.0793&amp;sourceID=14","0.0793")</f>
        <v>0.0793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HYPERLINK("http://141.218.60.56/~jnz1568/getInfo.php?workbook=14_06.xlsx&amp;sheet=U0&amp;row=59&amp;col=6&amp;number=4.5&amp;sourceID=14","4.5")</f>
        <v>4.5</v>
      </c>
      <c r="G59" s="4" t="str">
        <f>HYPERLINK("http://141.218.60.56/~jnz1568/getInfo.php?workbook=14_06.xlsx&amp;sheet=U0&amp;row=59&amp;col=7&amp;number=0.0789&amp;sourceID=14","0.0789")</f>
        <v>0.0789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HYPERLINK("http://141.218.60.56/~jnz1568/getInfo.php?workbook=14_06.xlsx&amp;sheet=U0&amp;row=60&amp;col=6&amp;number=4.6&amp;sourceID=14","4.6")</f>
        <v>4.6</v>
      </c>
      <c r="G60" s="4" t="str">
        <f>HYPERLINK("http://141.218.60.56/~jnz1568/getInfo.php?workbook=14_06.xlsx&amp;sheet=U0&amp;row=60&amp;col=7&amp;number=0.0784&amp;sourceID=14","0.0784")</f>
        <v>0.0784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HYPERLINK("http://141.218.60.56/~jnz1568/getInfo.php?workbook=14_06.xlsx&amp;sheet=U0&amp;row=61&amp;col=6&amp;number=4.7&amp;sourceID=14","4.7")</f>
        <v>4.7</v>
      </c>
      <c r="G61" s="4" t="str">
        <f>HYPERLINK("http://141.218.60.56/~jnz1568/getInfo.php?workbook=14_06.xlsx&amp;sheet=U0&amp;row=61&amp;col=7&amp;number=0.0778&amp;sourceID=14","0.0778")</f>
        <v>0.0778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HYPERLINK("http://141.218.60.56/~jnz1568/getInfo.php?workbook=14_06.xlsx&amp;sheet=U0&amp;row=62&amp;col=6&amp;number=4.8&amp;sourceID=14","4.8")</f>
        <v>4.8</v>
      </c>
      <c r="G62" s="4" t="str">
        <f>HYPERLINK("http://141.218.60.56/~jnz1568/getInfo.php?workbook=14_06.xlsx&amp;sheet=U0&amp;row=62&amp;col=7&amp;number=0.0771&amp;sourceID=14","0.0771")</f>
        <v>0.0771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HYPERLINK("http://141.218.60.56/~jnz1568/getInfo.php?workbook=14_06.xlsx&amp;sheet=U0&amp;row=63&amp;col=6&amp;number=4.9&amp;sourceID=14","4.9")</f>
        <v>4.9</v>
      </c>
      <c r="G63" s="4" t="str">
        <f>HYPERLINK("http://141.218.60.56/~jnz1568/getInfo.php?workbook=14_06.xlsx&amp;sheet=U0&amp;row=63&amp;col=7&amp;number=0.0762&amp;sourceID=14","0.0762")</f>
        <v>0.0762</v>
      </c>
    </row>
    <row r="64" spans="1:7">
      <c r="A64" s="3">
        <v>14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HYPERLINK("http://141.218.60.56/~jnz1568/getInfo.php?workbook=14_06.xlsx&amp;sheet=U0&amp;row=64&amp;col=6&amp;number=3&amp;sourceID=14","3")</f>
        <v>3</v>
      </c>
      <c r="G64" s="4" t="str">
        <f>HYPERLINK("http://141.218.60.56/~jnz1568/getInfo.php?workbook=14_06.xlsx&amp;sheet=U0&amp;row=64&amp;col=7&amp;number=0.0101&amp;sourceID=14","0.0101")</f>
        <v>0.0101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HYPERLINK("http://141.218.60.56/~jnz1568/getInfo.php?workbook=14_06.xlsx&amp;sheet=U0&amp;row=65&amp;col=6&amp;number=3.1&amp;sourceID=14","3.1")</f>
        <v>3.1</v>
      </c>
      <c r="G65" s="4" t="str">
        <f>HYPERLINK("http://141.218.60.56/~jnz1568/getInfo.php?workbook=14_06.xlsx&amp;sheet=U0&amp;row=65&amp;col=7&amp;number=0.0101&amp;sourceID=14","0.0101")</f>
        <v>0.0101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HYPERLINK("http://141.218.60.56/~jnz1568/getInfo.php?workbook=14_06.xlsx&amp;sheet=U0&amp;row=66&amp;col=6&amp;number=3.2&amp;sourceID=14","3.2")</f>
        <v>3.2</v>
      </c>
      <c r="G66" s="4" t="str">
        <f>HYPERLINK("http://141.218.60.56/~jnz1568/getInfo.php?workbook=14_06.xlsx&amp;sheet=U0&amp;row=66&amp;col=7&amp;number=0.0101&amp;sourceID=14","0.0101")</f>
        <v>0.0101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HYPERLINK("http://141.218.60.56/~jnz1568/getInfo.php?workbook=14_06.xlsx&amp;sheet=U0&amp;row=67&amp;col=6&amp;number=3.3&amp;sourceID=14","3.3")</f>
        <v>3.3</v>
      </c>
      <c r="G67" s="4" t="str">
        <f>HYPERLINK("http://141.218.60.56/~jnz1568/getInfo.php?workbook=14_06.xlsx&amp;sheet=U0&amp;row=67&amp;col=7&amp;number=0.0101&amp;sourceID=14","0.0101")</f>
        <v>0.0101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HYPERLINK("http://141.218.60.56/~jnz1568/getInfo.php?workbook=14_06.xlsx&amp;sheet=U0&amp;row=68&amp;col=6&amp;number=3.4&amp;sourceID=14","3.4")</f>
        <v>3.4</v>
      </c>
      <c r="G68" s="4" t="str">
        <f>HYPERLINK("http://141.218.60.56/~jnz1568/getInfo.php?workbook=14_06.xlsx&amp;sheet=U0&amp;row=68&amp;col=7&amp;number=0.0101&amp;sourceID=14","0.0101")</f>
        <v>0.0101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HYPERLINK("http://141.218.60.56/~jnz1568/getInfo.php?workbook=14_06.xlsx&amp;sheet=U0&amp;row=69&amp;col=6&amp;number=3.5&amp;sourceID=14","3.5")</f>
        <v>3.5</v>
      </c>
      <c r="G69" s="4" t="str">
        <f>HYPERLINK("http://141.218.60.56/~jnz1568/getInfo.php?workbook=14_06.xlsx&amp;sheet=U0&amp;row=69&amp;col=7&amp;number=0.0101&amp;sourceID=14","0.0101")</f>
        <v>0.0101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HYPERLINK("http://141.218.60.56/~jnz1568/getInfo.php?workbook=14_06.xlsx&amp;sheet=U0&amp;row=70&amp;col=6&amp;number=3.6&amp;sourceID=14","3.6")</f>
        <v>3.6</v>
      </c>
      <c r="G70" s="4" t="str">
        <f>HYPERLINK("http://141.218.60.56/~jnz1568/getInfo.php?workbook=14_06.xlsx&amp;sheet=U0&amp;row=70&amp;col=7&amp;number=0.0101&amp;sourceID=14","0.0101")</f>
        <v>0.0101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HYPERLINK("http://141.218.60.56/~jnz1568/getInfo.php?workbook=14_06.xlsx&amp;sheet=U0&amp;row=71&amp;col=6&amp;number=3.7&amp;sourceID=14","3.7")</f>
        <v>3.7</v>
      </c>
      <c r="G71" s="4" t="str">
        <f>HYPERLINK("http://141.218.60.56/~jnz1568/getInfo.php?workbook=14_06.xlsx&amp;sheet=U0&amp;row=71&amp;col=7&amp;number=0.0101&amp;sourceID=14","0.0101")</f>
        <v>0.0101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HYPERLINK("http://141.218.60.56/~jnz1568/getInfo.php?workbook=14_06.xlsx&amp;sheet=U0&amp;row=72&amp;col=6&amp;number=3.8&amp;sourceID=14","3.8")</f>
        <v>3.8</v>
      </c>
      <c r="G72" s="4" t="str">
        <f>HYPERLINK("http://141.218.60.56/~jnz1568/getInfo.php?workbook=14_06.xlsx&amp;sheet=U0&amp;row=72&amp;col=7&amp;number=0.0101&amp;sourceID=14","0.0101")</f>
        <v>0.0101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HYPERLINK("http://141.218.60.56/~jnz1568/getInfo.php?workbook=14_06.xlsx&amp;sheet=U0&amp;row=73&amp;col=6&amp;number=3.9&amp;sourceID=14","3.9")</f>
        <v>3.9</v>
      </c>
      <c r="G73" s="4" t="str">
        <f>HYPERLINK("http://141.218.60.56/~jnz1568/getInfo.php?workbook=14_06.xlsx&amp;sheet=U0&amp;row=73&amp;col=7&amp;number=0.0101&amp;sourceID=14","0.0101")</f>
        <v>0.0101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HYPERLINK("http://141.218.60.56/~jnz1568/getInfo.php?workbook=14_06.xlsx&amp;sheet=U0&amp;row=74&amp;col=6&amp;number=4&amp;sourceID=14","4")</f>
        <v>4</v>
      </c>
      <c r="G74" s="4" t="str">
        <f>HYPERLINK("http://141.218.60.56/~jnz1568/getInfo.php?workbook=14_06.xlsx&amp;sheet=U0&amp;row=74&amp;col=7&amp;number=0.0101&amp;sourceID=14","0.0101")</f>
        <v>0.0101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HYPERLINK("http://141.218.60.56/~jnz1568/getInfo.php?workbook=14_06.xlsx&amp;sheet=U0&amp;row=75&amp;col=6&amp;number=4.1&amp;sourceID=14","4.1")</f>
        <v>4.1</v>
      </c>
      <c r="G75" s="4" t="str">
        <f>HYPERLINK("http://141.218.60.56/~jnz1568/getInfo.php?workbook=14_06.xlsx&amp;sheet=U0&amp;row=75&amp;col=7&amp;number=0.01&amp;sourceID=14","0.01")</f>
        <v>0.01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HYPERLINK("http://141.218.60.56/~jnz1568/getInfo.php?workbook=14_06.xlsx&amp;sheet=U0&amp;row=76&amp;col=6&amp;number=4.2&amp;sourceID=14","4.2")</f>
        <v>4.2</v>
      </c>
      <c r="G76" s="4" t="str">
        <f>HYPERLINK("http://141.218.60.56/~jnz1568/getInfo.php?workbook=14_06.xlsx&amp;sheet=U0&amp;row=76&amp;col=7&amp;number=0.01&amp;sourceID=14","0.01")</f>
        <v>0.01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HYPERLINK("http://141.218.60.56/~jnz1568/getInfo.php?workbook=14_06.xlsx&amp;sheet=U0&amp;row=77&amp;col=6&amp;number=4.3&amp;sourceID=14","4.3")</f>
        <v>4.3</v>
      </c>
      <c r="G77" s="4" t="str">
        <f>HYPERLINK("http://141.218.60.56/~jnz1568/getInfo.php?workbook=14_06.xlsx&amp;sheet=U0&amp;row=77&amp;col=7&amp;number=0.01&amp;sourceID=14","0.01")</f>
        <v>0.01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HYPERLINK("http://141.218.60.56/~jnz1568/getInfo.php?workbook=14_06.xlsx&amp;sheet=U0&amp;row=78&amp;col=6&amp;number=4.4&amp;sourceID=14","4.4")</f>
        <v>4.4</v>
      </c>
      <c r="G78" s="4" t="str">
        <f>HYPERLINK("http://141.218.60.56/~jnz1568/getInfo.php?workbook=14_06.xlsx&amp;sheet=U0&amp;row=78&amp;col=7&amp;number=0.00996&amp;sourceID=14","0.00996")</f>
        <v>0.00996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HYPERLINK("http://141.218.60.56/~jnz1568/getInfo.php?workbook=14_06.xlsx&amp;sheet=U0&amp;row=79&amp;col=6&amp;number=4.5&amp;sourceID=14","4.5")</f>
        <v>4.5</v>
      </c>
      <c r="G79" s="4" t="str">
        <f>HYPERLINK("http://141.218.60.56/~jnz1568/getInfo.php?workbook=14_06.xlsx&amp;sheet=U0&amp;row=79&amp;col=7&amp;number=0.00992&amp;sourceID=14","0.00992")</f>
        <v>0.00992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HYPERLINK("http://141.218.60.56/~jnz1568/getInfo.php?workbook=14_06.xlsx&amp;sheet=U0&amp;row=80&amp;col=6&amp;number=4.6&amp;sourceID=14","4.6")</f>
        <v>4.6</v>
      </c>
      <c r="G80" s="4" t="str">
        <f>HYPERLINK("http://141.218.60.56/~jnz1568/getInfo.php?workbook=14_06.xlsx&amp;sheet=U0&amp;row=80&amp;col=7&amp;number=0.00987&amp;sourceID=14","0.00987")</f>
        <v>0.00987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HYPERLINK("http://141.218.60.56/~jnz1568/getInfo.php?workbook=14_06.xlsx&amp;sheet=U0&amp;row=81&amp;col=6&amp;number=4.7&amp;sourceID=14","4.7")</f>
        <v>4.7</v>
      </c>
      <c r="G81" s="4" t="str">
        <f>HYPERLINK("http://141.218.60.56/~jnz1568/getInfo.php?workbook=14_06.xlsx&amp;sheet=U0&amp;row=81&amp;col=7&amp;number=0.0098&amp;sourceID=14","0.0098")</f>
        <v>0.0098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HYPERLINK("http://141.218.60.56/~jnz1568/getInfo.php?workbook=14_06.xlsx&amp;sheet=U0&amp;row=82&amp;col=6&amp;number=4.8&amp;sourceID=14","4.8")</f>
        <v>4.8</v>
      </c>
      <c r="G82" s="4" t="str">
        <f>HYPERLINK("http://141.218.60.56/~jnz1568/getInfo.php?workbook=14_06.xlsx&amp;sheet=U0&amp;row=82&amp;col=7&amp;number=0.00972&amp;sourceID=14","0.00972")</f>
        <v>0.00972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HYPERLINK("http://141.218.60.56/~jnz1568/getInfo.php?workbook=14_06.xlsx&amp;sheet=U0&amp;row=83&amp;col=6&amp;number=4.9&amp;sourceID=14","4.9")</f>
        <v>4.9</v>
      </c>
      <c r="G83" s="4" t="str">
        <f>HYPERLINK("http://141.218.60.56/~jnz1568/getInfo.php?workbook=14_06.xlsx&amp;sheet=U0&amp;row=83&amp;col=7&amp;number=0.00962&amp;sourceID=14","0.00962")</f>
        <v>0.00962</v>
      </c>
    </row>
    <row r="84" spans="1:7">
      <c r="A84" s="3">
        <v>14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HYPERLINK("http://141.218.60.56/~jnz1568/getInfo.php?workbook=14_06.xlsx&amp;sheet=U0&amp;row=84&amp;col=6&amp;number=3&amp;sourceID=14","3")</f>
        <v>3</v>
      </c>
      <c r="G84" s="4" t="str">
        <f>HYPERLINK("http://141.218.60.56/~jnz1568/getInfo.php?workbook=14_06.xlsx&amp;sheet=U0&amp;row=84&amp;col=7&amp;number=0.0141&amp;sourceID=14","0.0141")</f>
        <v>0.0141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HYPERLINK("http://141.218.60.56/~jnz1568/getInfo.php?workbook=14_06.xlsx&amp;sheet=U0&amp;row=85&amp;col=6&amp;number=3.1&amp;sourceID=14","3.1")</f>
        <v>3.1</v>
      </c>
      <c r="G85" s="4" t="str">
        <f>HYPERLINK("http://141.218.60.56/~jnz1568/getInfo.php?workbook=14_06.xlsx&amp;sheet=U0&amp;row=85&amp;col=7&amp;number=0.0141&amp;sourceID=14","0.0141")</f>
        <v>0.0141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HYPERLINK("http://141.218.60.56/~jnz1568/getInfo.php?workbook=14_06.xlsx&amp;sheet=U0&amp;row=86&amp;col=6&amp;number=3.2&amp;sourceID=14","3.2")</f>
        <v>3.2</v>
      </c>
      <c r="G86" s="4" t="str">
        <f>HYPERLINK("http://141.218.60.56/~jnz1568/getInfo.php?workbook=14_06.xlsx&amp;sheet=U0&amp;row=86&amp;col=7&amp;number=0.0141&amp;sourceID=14","0.0141")</f>
        <v>0.0141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HYPERLINK("http://141.218.60.56/~jnz1568/getInfo.php?workbook=14_06.xlsx&amp;sheet=U0&amp;row=87&amp;col=6&amp;number=3.3&amp;sourceID=14","3.3")</f>
        <v>3.3</v>
      </c>
      <c r="G87" s="4" t="str">
        <f>HYPERLINK("http://141.218.60.56/~jnz1568/getInfo.php?workbook=14_06.xlsx&amp;sheet=U0&amp;row=87&amp;col=7&amp;number=0.0141&amp;sourceID=14","0.0141")</f>
        <v>0.0141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HYPERLINK("http://141.218.60.56/~jnz1568/getInfo.php?workbook=14_06.xlsx&amp;sheet=U0&amp;row=88&amp;col=6&amp;number=3.4&amp;sourceID=14","3.4")</f>
        <v>3.4</v>
      </c>
      <c r="G88" s="4" t="str">
        <f>HYPERLINK("http://141.218.60.56/~jnz1568/getInfo.php?workbook=14_06.xlsx&amp;sheet=U0&amp;row=88&amp;col=7&amp;number=0.0141&amp;sourceID=14","0.0141")</f>
        <v>0.0141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HYPERLINK("http://141.218.60.56/~jnz1568/getInfo.php?workbook=14_06.xlsx&amp;sheet=U0&amp;row=89&amp;col=6&amp;number=3.5&amp;sourceID=14","3.5")</f>
        <v>3.5</v>
      </c>
      <c r="G89" s="4" t="str">
        <f>HYPERLINK("http://141.218.60.56/~jnz1568/getInfo.php?workbook=14_06.xlsx&amp;sheet=U0&amp;row=89&amp;col=7&amp;number=0.0141&amp;sourceID=14","0.0141")</f>
        <v>0.0141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HYPERLINK("http://141.218.60.56/~jnz1568/getInfo.php?workbook=14_06.xlsx&amp;sheet=U0&amp;row=90&amp;col=6&amp;number=3.6&amp;sourceID=14","3.6")</f>
        <v>3.6</v>
      </c>
      <c r="G90" s="4" t="str">
        <f>HYPERLINK("http://141.218.60.56/~jnz1568/getInfo.php?workbook=14_06.xlsx&amp;sheet=U0&amp;row=90&amp;col=7&amp;number=0.0141&amp;sourceID=14","0.0141")</f>
        <v>0.0141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HYPERLINK("http://141.218.60.56/~jnz1568/getInfo.php?workbook=14_06.xlsx&amp;sheet=U0&amp;row=91&amp;col=6&amp;number=3.7&amp;sourceID=14","3.7")</f>
        <v>3.7</v>
      </c>
      <c r="G91" s="4" t="str">
        <f>HYPERLINK("http://141.218.60.56/~jnz1568/getInfo.php?workbook=14_06.xlsx&amp;sheet=U0&amp;row=91&amp;col=7&amp;number=0.0141&amp;sourceID=14","0.0141")</f>
        <v>0.0141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HYPERLINK("http://141.218.60.56/~jnz1568/getInfo.php?workbook=14_06.xlsx&amp;sheet=U0&amp;row=92&amp;col=6&amp;number=3.8&amp;sourceID=14","3.8")</f>
        <v>3.8</v>
      </c>
      <c r="G92" s="4" t="str">
        <f>HYPERLINK("http://141.218.60.56/~jnz1568/getInfo.php?workbook=14_06.xlsx&amp;sheet=U0&amp;row=92&amp;col=7&amp;number=0.014&amp;sourceID=14","0.014")</f>
        <v>0.014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HYPERLINK("http://141.218.60.56/~jnz1568/getInfo.php?workbook=14_06.xlsx&amp;sheet=U0&amp;row=93&amp;col=6&amp;number=3.9&amp;sourceID=14","3.9")</f>
        <v>3.9</v>
      </c>
      <c r="G93" s="4" t="str">
        <f>HYPERLINK("http://141.218.60.56/~jnz1568/getInfo.php?workbook=14_06.xlsx&amp;sheet=U0&amp;row=93&amp;col=7&amp;number=0.014&amp;sourceID=14","0.014")</f>
        <v>0.014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HYPERLINK("http://141.218.60.56/~jnz1568/getInfo.php?workbook=14_06.xlsx&amp;sheet=U0&amp;row=94&amp;col=6&amp;number=4&amp;sourceID=14","4")</f>
        <v>4</v>
      </c>
      <c r="G94" s="4" t="str">
        <f>HYPERLINK("http://141.218.60.56/~jnz1568/getInfo.php?workbook=14_06.xlsx&amp;sheet=U0&amp;row=94&amp;col=7&amp;number=0.014&amp;sourceID=14","0.014")</f>
        <v>0.014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HYPERLINK("http://141.218.60.56/~jnz1568/getInfo.php?workbook=14_06.xlsx&amp;sheet=U0&amp;row=95&amp;col=6&amp;number=4.1&amp;sourceID=14","4.1")</f>
        <v>4.1</v>
      </c>
      <c r="G95" s="4" t="str">
        <f>HYPERLINK("http://141.218.60.56/~jnz1568/getInfo.php?workbook=14_06.xlsx&amp;sheet=U0&amp;row=95&amp;col=7&amp;number=0.014&amp;sourceID=14","0.014")</f>
        <v>0.014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HYPERLINK("http://141.218.60.56/~jnz1568/getInfo.php?workbook=14_06.xlsx&amp;sheet=U0&amp;row=96&amp;col=6&amp;number=4.2&amp;sourceID=14","4.2")</f>
        <v>4.2</v>
      </c>
      <c r="G96" s="4" t="str">
        <f>HYPERLINK("http://141.218.60.56/~jnz1568/getInfo.php?workbook=14_06.xlsx&amp;sheet=U0&amp;row=96&amp;col=7&amp;number=0.014&amp;sourceID=14","0.014")</f>
        <v>0.014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HYPERLINK("http://141.218.60.56/~jnz1568/getInfo.php?workbook=14_06.xlsx&amp;sheet=U0&amp;row=97&amp;col=6&amp;number=4.3&amp;sourceID=14","4.3")</f>
        <v>4.3</v>
      </c>
      <c r="G97" s="4" t="str">
        <f>HYPERLINK("http://141.218.60.56/~jnz1568/getInfo.php?workbook=14_06.xlsx&amp;sheet=U0&amp;row=97&amp;col=7&amp;number=0.014&amp;sourceID=14","0.014")</f>
        <v>0.014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HYPERLINK("http://141.218.60.56/~jnz1568/getInfo.php?workbook=14_06.xlsx&amp;sheet=U0&amp;row=98&amp;col=6&amp;number=4.4&amp;sourceID=14","4.4")</f>
        <v>4.4</v>
      </c>
      <c r="G98" s="4" t="str">
        <f>HYPERLINK("http://141.218.60.56/~jnz1568/getInfo.php?workbook=14_06.xlsx&amp;sheet=U0&amp;row=98&amp;col=7&amp;number=0.014&amp;sourceID=14","0.014")</f>
        <v>0.014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HYPERLINK("http://141.218.60.56/~jnz1568/getInfo.php?workbook=14_06.xlsx&amp;sheet=U0&amp;row=99&amp;col=6&amp;number=4.5&amp;sourceID=14","4.5")</f>
        <v>4.5</v>
      </c>
      <c r="G99" s="4" t="str">
        <f>HYPERLINK("http://141.218.60.56/~jnz1568/getInfo.php?workbook=14_06.xlsx&amp;sheet=U0&amp;row=99&amp;col=7&amp;number=0.014&amp;sourceID=14","0.014")</f>
        <v>0.014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HYPERLINK("http://141.218.60.56/~jnz1568/getInfo.php?workbook=14_06.xlsx&amp;sheet=U0&amp;row=100&amp;col=6&amp;number=4.6&amp;sourceID=14","4.6")</f>
        <v>4.6</v>
      </c>
      <c r="G100" s="4" t="str">
        <f>HYPERLINK("http://141.218.60.56/~jnz1568/getInfo.php?workbook=14_06.xlsx&amp;sheet=U0&amp;row=100&amp;col=7&amp;number=0.0139&amp;sourceID=14","0.0139")</f>
        <v>0.0139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HYPERLINK("http://141.218.60.56/~jnz1568/getInfo.php?workbook=14_06.xlsx&amp;sheet=U0&amp;row=101&amp;col=6&amp;number=4.7&amp;sourceID=14","4.7")</f>
        <v>4.7</v>
      </c>
      <c r="G101" s="4" t="str">
        <f>HYPERLINK("http://141.218.60.56/~jnz1568/getInfo.php?workbook=14_06.xlsx&amp;sheet=U0&amp;row=101&amp;col=7&amp;number=0.0139&amp;sourceID=14","0.0139")</f>
        <v>0.0139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HYPERLINK("http://141.218.60.56/~jnz1568/getInfo.php?workbook=14_06.xlsx&amp;sheet=U0&amp;row=102&amp;col=6&amp;number=4.8&amp;sourceID=14","4.8")</f>
        <v>4.8</v>
      </c>
      <c r="G102" s="4" t="str">
        <f>HYPERLINK("http://141.218.60.56/~jnz1568/getInfo.php?workbook=14_06.xlsx&amp;sheet=U0&amp;row=102&amp;col=7&amp;number=0.0139&amp;sourceID=14","0.0139")</f>
        <v>0.0139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HYPERLINK("http://141.218.60.56/~jnz1568/getInfo.php?workbook=14_06.xlsx&amp;sheet=U0&amp;row=103&amp;col=6&amp;number=4.9&amp;sourceID=14","4.9")</f>
        <v>4.9</v>
      </c>
      <c r="G103" s="4" t="str">
        <f>HYPERLINK("http://141.218.60.56/~jnz1568/getInfo.php?workbook=14_06.xlsx&amp;sheet=U0&amp;row=103&amp;col=7&amp;number=0.0138&amp;sourceID=14","0.0138")</f>
        <v>0.0138</v>
      </c>
    </row>
    <row r="104" spans="1:7">
      <c r="A104" s="3">
        <v>14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HYPERLINK("http://141.218.60.56/~jnz1568/getInfo.php?workbook=14_06.xlsx&amp;sheet=U0&amp;row=104&amp;col=6&amp;number=3&amp;sourceID=14","3")</f>
        <v>3</v>
      </c>
      <c r="G104" s="4" t="str">
        <f>HYPERLINK("http://141.218.60.56/~jnz1568/getInfo.php?workbook=14_06.xlsx&amp;sheet=U0&amp;row=104&amp;col=7&amp;number=0.0114&amp;sourceID=14","0.0114")</f>
        <v>0.0114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HYPERLINK("http://141.218.60.56/~jnz1568/getInfo.php?workbook=14_06.xlsx&amp;sheet=U0&amp;row=105&amp;col=6&amp;number=3.1&amp;sourceID=14","3.1")</f>
        <v>3.1</v>
      </c>
      <c r="G105" s="4" t="str">
        <f>HYPERLINK("http://141.218.60.56/~jnz1568/getInfo.php?workbook=14_06.xlsx&amp;sheet=U0&amp;row=105&amp;col=7&amp;number=0.0114&amp;sourceID=14","0.0114")</f>
        <v>0.0114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HYPERLINK("http://141.218.60.56/~jnz1568/getInfo.php?workbook=14_06.xlsx&amp;sheet=U0&amp;row=106&amp;col=6&amp;number=3.2&amp;sourceID=14","3.2")</f>
        <v>3.2</v>
      </c>
      <c r="G106" s="4" t="str">
        <f>HYPERLINK("http://141.218.60.56/~jnz1568/getInfo.php?workbook=14_06.xlsx&amp;sheet=U0&amp;row=106&amp;col=7&amp;number=0.0114&amp;sourceID=14","0.0114")</f>
        <v>0.0114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HYPERLINK("http://141.218.60.56/~jnz1568/getInfo.php?workbook=14_06.xlsx&amp;sheet=U0&amp;row=107&amp;col=6&amp;number=3.3&amp;sourceID=14","3.3")</f>
        <v>3.3</v>
      </c>
      <c r="G107" s="4" t="str">
        <f>HYPERLINK("http://141.218.60.56/~jnz1568/getInfo.php?workbook=14_06.xlsx&amp;sheet=U0&amp;row=107&amp;col=7&amp;number=0.0114&amp;sourceID=14","0.0114")</f>
        <v>0.0114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HYPERLINK("http://141.218.60.56/~jnz1568/getInfo.php?workbook=14_06.xlsx&amp;sheet=U0&amp;row=108&amp;col=6&amp;number=3.4&amp;sourceID=14","3.4")</f>
        <v>3.4</v>
      </c>
      <c r="G108" s="4" t="str">
        <f>HYPERLINK("http://141.218.60.56/~jnz1568/getInfo.php?workbook=14_06.xlsx&amp;sheet=U0&amp;row=108&amp;col=7&amp;number=0.0114&amp;sourceID=14","0.0114")</f>
        <v>0.0114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HYPERLINK("http://141.218.60.56/~jnz1568/getInfo.php?workbook=14_06.xlsx&amp;sheet=U0&amp;row=109&amp;col=6&amp;number=3.5&amp;sourceID=14","3.5")</f>
        <v>3.5</v>
      </c>
      <c r="G109" s="4" t="str">
        <f>HYPERLINK("http://141.218.60.56/~jnz1568/getInfo.php?workbook=14_06.xlsx&amp;sheet=U0&amp;row=109&amp;col=7&amp;number=0.0114&amp;sourceID=14","0.0114")</f>
        <v>0.0114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HYPERLINK("http://141.218.60.56/~jnz1568/getInfo.php?workbook=14_06.xlsx&amp;sheet=U0&amp;row=110&amp;col=6&amp;number=3.6&amp;sourceID=14","3.6")</f>
        <v>3.6</v>
      </c>
      <c r="G110" s="4" t="str">
        <f>HYPERLINK("http://141.218.60.56/~jnz1568/getInfo.php?workbook=14_06.xlsx&amp;sheet=U0&amp;row=110&amp;col=7&amp;number=0.0114&amp;sourceID=14","0.0114")</f>
        <v>0.0114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HYPERLINK("http://141.218.60.56/~jnz1568/getInfo.php?workbook=14_06.xlsx&amp;sheet=U0&amp;row=111&amp;col=6&amp;number=3.7&amp;sourceID=14","3.7")</f>
        <v>3.7</v>
      </c>
      <c r="G111" s="4" t="str">
        <f>HYPERLINK("http://141.218.60.56/~jnz1568/getInfo.php?workbook=14_06.xlsx&amp;sheet=U0&amp;row=111&amp;col=7&amp;number=0.0114&amp;sourceID=14","0.0114")</f>
        <v>0.0114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HYPERLINK("http://141.218.60.56/~jnz1568/getInfo.php?workbook=14_06.xlsx&amp;sheet=U0&amp;row=112&amp;col=6&amp;number=3.8&amp;sourceID=14","3.8")</f>
        <v>3.8</v>
      </c>
      <c r="G112" s="4" t="str">
        <f>HYPERLINK("http://141.218.60.56/~jnz1568/getInfo.php?workbook=14_06.xlsx&amp;sheet=U0&amp;row=112&amp;col=7&amp;number=0.0114&amp;sourceID=14","0.0114")</f>
        <v>0.0114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HYPERLINK("http://141.218.60.56/~jnz1568/getInfo.php?workbook=14_06.xlsx&amp;sheet=U0&amp;row=113&amp;col=6&amp;number=3.9&amp;sourceID=14","3.9")</f>
        <v>3.9</v>
      </c>
      <c r="G113" s="4" t="str">
        <f>HYPERLINK("http://141.218.60.56/~jnz1568/getInfo.php?workbook=14_06.xlsx&amp;sheet=U0&amp;row=113&amp;col=7&amp;number=0.0114&amp;sourceID=14","0.0114")</f>
        <v>0.0114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HYPERLINK("http://141.218.60.56/~jnz1568/getInfo.php?workbook=14_06.xlsx&amp;sheet=U0&amp;row=114&amp;col=6&amp;number=4&amp;sourceID=14","4")</f>
        <v>4</v>
      </c>
      <c r="G114" s="4" t="str">
        <f>HYPERLINK("http://141.218.60.56/~jnz1568/getInfo.php?workbook=14_06.xlsx&amp;sheet=U0&amp;row=114&amp;col=7&amp;number=0.0114&amp;sourceID=14","0.0114")</f>
        <v>0.0114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HYPERLINK("http://141.218.60.56/~jnz1568/getInfo.php?workbook=14_06.xlsx&amp;sheet=U0&amp;row=115&amp;col=6&amp;number=4.1&amp;sourceID=14","4.1")</f>
        <v>4.1</v>
      </c>
      <c r="G115" s="4" t="str">
        <f>HYPERLINK("http://141.218.60.56/~jnz1568/getInfo.php?workbook=14_06.xlsx&amp;sheet=U0&amp;row=115&amp;col=7&amp;number=0.0114&amp;sourceID=14","0.0114")</f>
        <v>0.0114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HYPERLINK("http://141.218.60.56/~jnz1568/getInfo.php?workbook=14_06.xlsx&amp;sheet=U0&amp;row=116&amp;col=6&amp;number=4.2&amp;sourceID=14","4.2")</f>
        <v>4.2</v>
      </c>
      <c r="G116" s="4" t="str">
        <f>HYPERLINK("http://141.218.60.56/~jnz1568/getInfo.php?workbook=14_06.xlsx&amp;sheet=U0&amp;row=116&amp;col=7&amp;number=0.0114&amp;sourceID=14","0.0114")</f>
        <v>0.0114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HYPERLINK("http://141.218.60.56/~jnz1568/getInfo.php?workbook=14_06.xlsx&amp;sheet=U0&amp;row=117&amp;col=6&amp;number=4.3&amp;sourceID=14","4.3")</f>
        <v>4.3</v>
      </c>
      <c r="G117" s="4" t="str">
        <f>HYPERLINK("http://141.218.60.56/~jnz1568/getInfo.php?workbook=14_06.xlsx&amp;sheet=U0&amp;row=117&amp;col=7&amp;number=0.0114&amp;sourceID=14","0.0114")</f>
        <v>0.0114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HYPERLINK("http://141.218.60.56/~jnz1568/getInfo.php?workbook=14_06.xlsx&amp;sheet=U0&amp;row=118&amp;col=6&amp;number=4.4&amp;sourceID=14","4.4")</f>
        <v>4.4</v>
      </c>
      <c r="G118" s="4" t="str">
        <f>HYPERLINK("http://141.218.60.56/~jnz1568/getInfo.php?workbook=14_06.xlsx&amp;sheet=U0&amp;row=118&amp;col=7&amp;number=0.0114&amp;sourceID=14","0.0114")</f>
        <v>0.0114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HYPERLINK("http://141.218.60.56/~jnz1568/getInfo.php?workbook=14_06.xlsx&amp;sheet=U0&amp;row=119&amp;col=6&amp;number=4.5&amp;sourceID=14","4.5")</f>
        <v>4.5</v>
      </c>
      <c r="G119" s="4" t="str">
        <f>HYPERLINK("http://141.218.60.56/~jnz1568/getInfo.php?workbook=14_06.xlsx&amp;sheet=U0&amp;row=119&amp;col=7&amp;number=0.0113&amp;sourceID=14","0.0113")</f>
        <v>0.0113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HYPERLINK("http://141.218.60.56/~jnz1568/getInfo.php?workbook=14_06.xlsx&amp;sheet=U0&amp;row=120&amp;col=6&amp;number=4.6&amp;sourceID=14","4.6")</f>
        <v>4.6</v>
      </c>
      <c r="G120" s="4" t="str">
        <f>HYPERLINK("http://141.218.60.56/~jnz1568/getInfo.php?workbook=14_06.xlsx&amp;sheet=U0&amp;row=120&amp;col=7&amp;number=0.0113&amp;sourceID=14","0.0113")</f>
        <v>0.0113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HYPERLINK("http://141.218.60.56/~jnz1568/getInfo.php?workbook=14_06.xlsx&amp;sheet=U0&amp;row=121&amp;col=6&amp;number=4.7&amp;sourceID=14","4.7")</f>
        <v>4.7</v>
      </c>
      <c r="G121" s="4" t="str">
        <f>HYPERLINK("http://141.218.60.56/~jnz1568/getInfo.php?workbook=14_06.xlsx&amp;sheet=U0&amp;row=121&amp;col=7&amp;number=0.0113&amp;sourceID=14","0.0113")</f>
        <v>0.0113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HYPERLINK("http://141.218.60.56/~jnz1568/getInfo.php?workbook=14_06.xlsx&amp;sheet=U0&amp;row=122&amp;col=6&amp;number=4.8&amp;sourceID=14","4.8")</f>
        <v>4.8</v>
      </c>
      <c r="G122" s="4" t="str">
        <f>HYPERLINK("http://141.218.60.56/~jnz1568/getInfo.php?workbook=14_06.xlsx&amp;sheet=U0&amp;row=122&amp;col=7&amp;number=0.0113&amp;sourceID=14","0.0113")</f>
        <v>0.0113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HYPERLINK("http://141.218.60.56/~jnz1568/getInfo.php?workbook=14_06.xlsx&amp;sheet=U0&amp;row=123&amp;col=6&amp;number=4.9&amp;sourceID=14","4.9")</f>
        <v>4.9</v>
      </c>
      <c r="G123" s="4" t="str">
        <f>HYPERLINK("http://141.218.60.56/~jnz1568/getInfo.php?workbook=14_06.xlsx&amp;sheet=U0&amp;row=123&amp;col=7&amp;number=0.0112&amp;sourceID=14","0.0112")</f>
        <v>0.0112</v>
      </c>
    </row>
    <row r="124" spans="1:7">
      <c r="A124" s="3">
        <v>14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HYPERLINK("http://141.218.60.56/~jnz1568/getInfo.php?workbook=14_06.xlsx&amp;sheet=U0&amp;row=124&amp;col=6&amp;number=3&amp;sourceID=14","3")</f>
        <v>3</v>
      </c>
      <c r="G124" s="4" t="str">
        <f>HYPERLINK("http://141.218.60.56/~jnz1568/getInfo.php?workbook=14_06.xlsx&amp;sheet=U0&amp;row=124&amp;col=7&amp;number=0.279&amp;sourceID=14","0.279")</f>
        <v>0.279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HYPERLINK("http://141.218.60.56/~jnz1568/getInfo.php?workbook=14_06.xlsx&amp;sheet=U0&amp;row=125&amp;col=6&amp;number=3.1&amp;sourceID=14","3.1")</f>
        <v>3.1</v>
      </c>
      <c r="G125" s="4" t="str">
        <f>HYPERLINK("http://141.218.60.56/~jnz1568/getInfo.php?workbook=14_06.xlsx&amp;sheet=U0&amp;row=125&amp;col=7&amp;number=0.279&amp;sourceID=14","0.279")</f>
        <v>0.279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HYPERLINK("http://141.218.60.56/~jnz1568/getInfo.php?workbook=14_06.xlsx&amp;sheet=U0&amp;row=126&amp;col=6&amp;number=3.2&amp;sourceID=14","3.2")</f>
        <v>3.2</v>
      </c>
      <c r="G126" s="4" t="str">
        <f>HYPERLINK("http://141.218.60.56/~jnz1568/getInfo.php?workbook=14_06.xlsx&amp;sheet=U0&amp;row=126&amp;col=7&amp;number=0.279&amp;sourceID=14","0.279")</f>
        <v>0.279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HYPERLINK("http://141.218.60.56/~jnz1568/getInfo.php?workbook=14_06.xlsx&amp;sheet=U0&amp;row=127&amp;col=6&amp;number=3.3&amp;sourceID=14","3.3")</f>
        <v>3.3</v>
      </c>
      <c r="G127" s="4" t="str">
        <f>HYPERLINK("http://141.218.60.56/~jnz1568/getInfo.php?workbook=14_06.xlsx&amp;sheet=U0&amp;row=127&amp;col=7&amp;number=0.28&amp;sourceID=14","0.28")</f>
        <v>0.28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HYPERLINK("http://141.218.60.56/~jnz1568/getInfo.php?workbook=14_06.xlsx&amp;sheet=U0&amp;row=128&amp;col=6&amp;number=3.4&amp;sourceID=14","3.4")</f>
        <v>3.4</v>
      </c>
      <c r="G128" s="4" t="str">
        <f>HYPERLINK("http://141.218.60.56/~jnz1568/getInfo.php?workbook=14_06.xlsx&amp;sheet=U0&amp;row=128&amp;col=7&amp;number=0.28&amp;sourceID=14","0.28")</f>
        <v>0.28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HYPERLINK("http://141.218.60.56/~jnz1568/getInfo.php?workbook=14_06.xlsx&amp;sheet=U0&amp;row=129&amp;col=6&amp;number=3.5&amp;sourceID=14","3.5")</f>
        <v>3.5</v>
      </c>
      <c r="G129" s="4" t="str">
        <f>HYPERLINK("http://141.218.60.56/~jnz1568/getInfo.php?workbook=14_06.xlsx&amp;sheet=U0&amp;row=129&amp;col=7&amp;number=0.28&amp;sourceID=14","0.28")</f>
        <v>0.28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HYPERLINK("http://141.218.60.56/~jnz1568/getInfo.php?workbook=14_06.xlsx&amp;sheet=U0&amp;row=130&amp;col=6&amp;number=3.6&amp;sourceID=14","3.6")</f>
        <v>3.6</v>
      </c>
      <c r="G130" s="4" t="str">
        <f>HYPERLINK("http://141.218.60.56/~jnz1568/getInfo.php?workbook=14_06.xlsx&amp;sheet=U0&amp;row=130&amp;col=7&amp;number=0.28&amp;sourceID=14","0.28")</f>
        <v>0.28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HYPERLINK("http://141.218.60.56/~jnz1568/getInfo.php?workbook=14_06.xlsx&amp;sheet=U0&amp;row=131&amp;col=6&amp;number=3.7&amp;sourceID=14","3.7")</f>
        <v>3.7</v>
      </c>
      <c r="G131" s="4" t="str">
        <f>HYPERLINK("http://141.218.60.56/~jnz1568/getInfo.php?workbook=14_06.xlsx&amp;sheet=U0&amp;row=131&amp;col=7&amp;number=0.28&amp;sourceID=14","0.28")</f>
        <v>0.28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HYPERLINK("http://141.218.60.56/~jnz1568/getInfo.php?workbook=14_06.xlsx&amp;sheet=U0&amp;row=132&amp;col=6&amp;number=3.8&amp;sourceID=14","3.8")</f>
        <v>3.8</v>
      </c>
      <c r="G132" s="4" t="str">
        <f>HYPERLINK("http://141.218.60.56/~jnz1568/getInfo.php?workbook=14_06.xlsx&amp;sheet=U0&amp;row=132&amp;col=7&amp;number=0.28&amp;sourceID=14","0.28")</f>
        <v>0.28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HYPERLINK("http://141.218.60.56/~jnz1568/getInfo.php?workbook=14_06.xlsx&amp;sheet=U0&amp;row=133&amp;col=6&amp;number=3.9&amp;sourceID=14","3.9")</f>
        <v>3.9</v>
      </c>
      <c r="G133" s="4" t="str">
        <f>HYPERLINK("http://141.218.60.56/~jnz1568/getInfo.php?workbook=14_06.xlsx&amp;sheet=U0&amp;row=133&amp;col=7&amp;number=0.281&amp;sourceID=14","0.281")</f>
        <v>0.281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HYPERLINK("http://141.218.60.56/~jnz1568/getInfo.php?workbook=14_06.xlsx&amp;sheet=U0&amp;row=134&amp;col=6&amp;number=4&amp;sourceID=14","4")</f>
        <v>4</v>
      </c>
      <c r="G134" s="4" t="str">
        <f>HYPERLINK("http://141.218.60.56/~jnz1568/getInfo.php?workbook=14_06.xlsx&amp;sheet=U0&amp;row=134&amp;col=7&amp;number=0.281&amp;sourceID=14","0.281")</f>
        <v>0.281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HYPERLINK("http://141.218.60.56/~jnz1568/getInfo.php?workbook=14_06.xlsx&amp;sheet=U0&amp;row=135&amp;col=6&amp;number=4.1&amp;sourceID=14","4.1")</f>
        <v>4.1</v>
      </c>
      <c r="G135" s="4" t="str">
        <f>HYPERLINK("http://141.218.60.56/~jnz1568/getInfo.php?workbook=14_06.xlsx&amp;sheet=U0&amp;row=135&amp;col=7&amp;number=0.281&amp;sourceID=14","0.281")</f>
        <v>0.281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HYPERLINK("http://141.218.60.56/~jnz1568/getInfo.php?workbook=14_06.xlsx&amp;sheet=U0&amp;row=136&amp;col=6&amp;number=4.2&amp;sourceID=14","4.2")</f>
        <v>4.2</v>
      </c>
      <c r="G136" s="4" t="str">
        <f>HYPERLINK("http://141.218.60.56/~jnz1568/getInfo.php?workbook=14_06.xlsx&amp;sheet=U0&amp;row=136&amp;col=7&amp;number=0.282&amp;sourceID=14","0.282")</f>
        <v>0.282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HYPERLINK("http://141.218.60.56/~jnz1568/getInfo.php?workbook=14_06.xlsx&amp;sheet=U0&amp;row=137&amp;col=6&amp;number=4.3&amp;sourceID=14","4.3")</f>
        <v>4.3</v>
      </c>
      <c r="G137" s="4" t="str">
        <f>HYPERLINK("http://141.218.60.56/~jnz1568/getInfo.php?workbook=14_06.xlsx&amp;sheet=U0&amp;row=137&amp;col=7&amp;number=0.283&amp;sourceID=14","0.283")</f>
        <v>0.283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HYPERLINK("http://141.218.60.56/~jnz1568/getInfo.php?workbook=14_06.xlsx&amp;sheet=U0&amp;row=138&amp;col=6&amp;number=4.4&amp;sourceID=14","4.4")</f>
        <v>4.4</v>
      </c>
      <c r="G138" s="4" t="str">
        <f>HYPERLINK("http://141.218.60.56/~jnz1568/getInfo.php?workbook=14_06.xlsx&amp;sheet=U0&amp;row=138&amp;col=7&amp;number=0.283&amp;sourceID=14","0.283")</f>
        <v>0.283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HYPERLINK("http://141.218.60.56/~jnz1568/getInfo.php?workbook=14_06.xlsx&amp;sheet=U0&amp;row=139&amp;col=6&amp;number=4.5&amp;sourceID=14","4.5")</f>
        <v>4.5</v>
      </c>
      <c r="G139" s="4" t="str">
        <f>HYPERLINK("http://141.218.60.56/~jnz1568/getInfo.php?workbook=14_06.xlsx&amp;sheet=U0&amp;row=139&amp;col=7&amp;number=0.284&amp;sourceID=14","0.284")</f>
        <v>0.284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HYPERLINK("http://141.218.60.56/~jnz1568/getInfo.php?workbook=14_06.xlsx&amp;sheet=U0&amp;row=140&amp;col=6&amp;number=4.6&amp;sourceID=14","4.6")</f>
        <v>4.6</v>
      </c>
      <c r="G140" s="4" t="str">
        <f>HYPERLINK("http://141.218.60.56/~jnz1568/getInfo.php?workbook=14_06.xlsx&amp;sheet=U0&amp;row=140&amp;col=7&amp;number=0.286&amp;sourceID=14","0.286")</f>
        <v>0.286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HYPERLINK("http://141.218.60.56/~jnz1568/getInfo.php?workbook=14_06.xlsx&amp;sheet=U0&amp;row=141&amp;col=6&amp;number=4.7&amp;sourceID=14","4.7")</f>
        <v>4.7</v>
      </c>
      <c r="G141" s="4" t="str">
        <f>HYPERLINK("http://141.218.60.56/~jnz1568/getInfo.php?workbook=14_06.xlsx&amp;sheet=U0&amp;row=141&amp;col=7&amp;number=0.287&amp;sourceID=14","0.287")</f>
        <v>0.287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HYPERLINK("http://141.218.60.56/~jnz1568/getInfo.php?workbook=14_06.xlsx&amp;sheet=U0&amp;row=142&amp;col=6&amp;number=4.8&amp;sourceID=14","4.8")</f>
        <v>4.8</v>
      </c>
      <c r="G142" s="4" t="str">
        <f>HYPERLINK("http://141.218.60.56/~jnz1568/getInfo.php?workbook=14_06.xlsx&amp;sheet=U0&amp;row=142&amp;col=7&amp;number=0.29&amp;sourceID=14","0.29")</f>
        <v>0.29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HYPERLINK("http://141.218.60.56/~jnz1568/getInfo.php?workbook=14_06.xlsx&amp;sheet=U0&amp;row=143&amp;col=6&amp;number=4.9&amp;sourceID=14","4.9")</f>
        <v>4.9</v>
      </c>
      <c r="G143" s="4" t="str">
        <f>HYPERLINK("http://141.218.60.56/~jnz1568/getInfo.php?workbook=14_06.xlsx&amp;sheet=U0&amp;row=143&amp;col=7&amp;number=0.292&amp;sourceID=14","0.292")</f>
        <v>0.292</v>
      </c>
    </row>
    <row r="144" spans="1:7">
      <c r="A144" s="3">
        <v>14</v>
      </c>
      <c r="B144" s="3">
        <v>6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HYPERLINK("http://141.218.60.56/~jnz1568/getInfo.php?workbook=14_06.xlsx&amp;sheet=U0&amp;row=144&amp;col=6&amp;number=3&amp;sourceID=14","3")</f>
        <v>3</v>
      </c>
      <c r="G144" s="4" t="str">
        <f>HYPERLINK("http://141.218.60.56/~jnz1568/getInfo.php?workbook=14_06.xlsx&amp;sheet=U0&amp;row=144&amp;col=7&amp;number=5.1e-05&amp;sourceID=14","5.1e-05")</f>
        <v>5.1e-05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HYPERLINK("http://141.218.60.56/~jnz1568/getInfo.php?workbook=14_06.xlsx&amp;sheet=U0&amp;row=145&amp;col=6&amp;number=3.1&amp;sourceID=14","3.1")</f>
        <v>3.1</v>
      </c>
      <c r="G145" s="4" t="str">
        <f>HYPERLINK("http://141.218.60.56/~jnz1568/getInfo.php?workbook=14_06.xlsx&amp;sheet=U0&amp;row=145&amp;col=7&amp;number=5.1e-05&amp;sourceID=14","5.1e-05")</f>
        <v>5.1e-05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HYPERLINK("http://141.218.60.56/~jnz1568/getInfo.php?workbook=14_06.xlsx&amp;sheet=U0&amp;row=146&amp;col=6&amp;number=3.2&amp;sourceID=14","3.2")</f>
        <v>3.2</v>
      </c>
      <c r="G146" s="4" t="str">
        <f>HYPERLINK("http://141.218.60.56/~jnz1568/getInfo.php?workbook=14_06.xlsx&amp;sheet=U0&amp;row=146&amp;col=7&amp;number=5.1e-05&amp;sourceID=14","5.1e-05")</f>
        <v>5.1e-05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HYPERLINK("http://141.218.60.56/~jnz1568/getInfo.php?workbook=14_06.xlsx&amp;sheet=U0&amp;row=147&amp;col=6&amp;number=3.3&amp;sourceID=14","3.3")</f>
        <v>3.3</v>
      </c>
      <c r="G147" s="4" t="str">
        <f>HYPERLINK("http://141.218.60.56/~jnz1568/getInfo.php?workbook=14_06.xlsx&amp;sheet=U0&amp;row=147&amp;col=7&amp;number=5.1e-05&amp;sourceID=14","5.1e-05")</f>
        <v>5.1e-05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HYPERLINK("http://141.218.60.56/~jnz1568/getInfo.php?workbook=14_06.xlsx&amp;sheet=U0&amp;row=148&amp;col=6&amp;number=3.4&amp;sourceID=14","3.4")</f>
        <v>3.4</v>
      </c>
      <c r="G148" s="4" t="str">
        <f>HYPERLINK("http://141.218.60.56/~jnz1568/getInfo.php?workbook=14_06.xlsx&amp;sheet=U0&amp;row=148&amp;col=7&amp;number=5.1e-05&amp;sourceID=14","5.1e-05")</f>
        <v>5.1e-05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HYPERLINK("http://141.218.60.56/~jnz1568/getInfo.php?workbook=14_06.xlsx&amp;sheet=U0&amp;row=149&amp;col=6&amp;number=3.5&amp;sourceID=14","3.5")</f>
        <v>3.5</v>
      </c>
      <c r="G149" s="4" t="str">
        <f>HYPERLINK("http://141.218.60.56/~jnz1568/getInfo.php?workbook=14_06.xlsx&amp;sheet=U0&amp;row=149&amp;col=7&amp;number=5.09e-05&amp;sourceID=14","5.09e-05")</f>
        <v>5.09e-05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HYPERLINK("http://141.218.60.56/~jnz1568/getInfo.php?workbook=14_06.xlsx&amp;sheet=U0&amp;row=150&amp;col=6&amp;number=3.6&amp;sourceID=14","3.6")</f>
        <v>3.6</v>
      </c>
      <c r="G150" s="4" t="str">
        <f>HYPERLINK("http://141.218.60.56/~jnz1568/getInfo.php?workbook=14_06.xlsx&amp;sheet=U0&amp;row=150&amp;col=7&amp;number=5.09e-05&amp;sourceID=14","5.09e-05")</f>
        <v>5.09e-05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HYPERLINK("http://141.218.60.56/~jnz1568/getInfo.php?workbook=14_06.xlsx&amp;sheet=U0&amp;row=151&amp;col=6&amp;number=3.7&amp;sourceID=14","3.7")</f>
        <v>3.7</v>
      </c>
      <c r="G151" s="4" t="str">
        <f>HYPERLINK("http://141.218.60.56/~jnz1568/getInfo.php?workbook=14_06.xlsx&amp;sheet=U0&amp;row=151&amp;col=7&amp;number=5.09e-05&amp;sourceID=14","5.09e-05")</f>
        <v>5.09e-05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HYPERLINK("http://141.218.60.56/~jnz1568/getInfo.php?workbook=14_06.xlsx&amp;sheet=U0&amp;row=152&amp;col=6&amp;number=3.8&amp;sourceID=14","3.8")</f>
        <v>3.8</v>
      </c>
      <c r="G152" s="4" t="str">
        <f>HYPERLINK("http://141.218.60.56/~jnz1568/getInfo.php?workbook=14_06.xlsx&amp;sheet=U0&amp;row=152&amp;col=7&amp;number=5.09e-05&amp;sourceID=14","5.09e-05")</f>
        <v>5.09e-05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HYPERLINK("http://141.218.60.56/~jnz1568/getInfo.php?workbook=14_06.xlsx&amp;sheet=U0&amp;row=153&amp;col=6&amp;number=3.9&amp;sourceID=14","3.9")</f>
        <v>3.9</v>
      </c>
      <c r="G153" s="4" t="str">
        <f>HYPERLINK("http://141.218.60.56/~jnz1568/getInfo.php?workbook=14_06.xlsx&amp;sheet=U0&amp;row=153&amp;col=7&amp;number=5.09e-05&amp;sourceID=14","5.09e-05")</f>
        <v>5.09e-05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HYPERLINK("http://141.218.60.56/~jnz1568/getInfo.php?workbook=14_06.xlsx&amp;sheet=U0&amp;row=154&amp;col=6&amp;number=4&amp;sourceID=14","4")</f>
        <v>4</v>
      </c>
      <c r="G154" s="4" t="str">
        <f>HYPERLINK("http://141.218.60.56/~jnz1568/getInfo.php?workbook=14_06.xlsx&amp;sheet=U0&amp;row=154&amp;col=7&amp;number=5.08e-05&amp;sourceID=14","5.08e-05")</f>
        <v>5.08e-05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HYPERLINK("http://141.218.60.56/~jnz1568/getInfo.php?workbook=14_06.xlsx&amp;sheet=U0&amp;row=155&amp;col=6&amp;number=4.1&amp;sourceID=14","4.1")</f>
        <v>4.1</v>
      </c>
      <c r="G155" s="4" t="str">
        <f>HYPERLINK("http://141.218.60.56/~jnz1568/getInfo.php?workbook=14_06.xlsx&amp;sheet=U0&amp;row=155&amp;col=7&amp;number=5.08e-05&amp;sourceID=14","5.08e-05")</f>
        <v>5.08e-05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HYPERLINK("http://141.218.60.56/~jnz1568/getInfo.php?workbook=14_06.xlsx&amp;sheet=U0&amp;row=156&amp;col=6&amp;number=4.2&amp;sourceID=14","4.2")</f>
        <v>4.2</v>
      </c>
      <c r="G156" s="4" t="str">
        <f>HYPERLINK("http://141.218.60.56/~jnz1568/getInfo.php?workbook=14_06.xlsx&amp;sheet=U0&amp;row=156&amp;col=7&amp;number=5.08e-05&amp;sourceID=14","5.08e-05")</f>
        <v>5.08e-05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HYPERLINK("http://141.218.60.56/~jnz1568/getInfo.php?workbook=14_06.xlsx&amp;sheet=U0&amp;row=157&amp;col=6&amp;number=4.3&amp;sourceID=14","4.3")</f>
        <v>4.3</v>
      </c>
      <c r="G157" s="4" t="str">
        <f>HYPERLINK("http://141.218.60.56/~jnz1568/getInfo.php?workbook=14_06.xlsx&amp;sheet=U0&amp;row=157&amp;col=7&amp;number=5.07e-05&amp;sourceID=14","5.07e-05")</f>
        <v>5.07e-05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HYPERLINK("http://141.218.60.56/~jnz1568/getInfo.php?workbook=14_06.xlsx&amp;sheet=U0&amp;row=158&amp;col=6&amp;number=4.4&amp;sourceID=14","4.4")</f>
        <v>4.4</v>
      </c>
      <c r="G158" s="4" t="str">
        <f>HYPERLINK("http://141.218.60.56/~jnz1568/getInfo.php?workbook=14_06.xlsx&amp;sheet=U0&amp;row=158&amp;col=7&amp;number=5.06e-05&amp;sourceID=14","5.06e-05")</f>
        <v>5.06e-05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HYPERLINK("http://141.218.60.56/~jnz1568/getInfo.php?workbook=14_06.xlsx&amp;sheet=U0&amp;row=159&amp;col=6&amp;number=4.5&amp;sourceID=14","4.5")</f>
        <v>4.5</v>
      </c>
      <c r="G159" s="4" t="str">
        <f>HYPERLINK("http://141.218.60.56/~jnz1568/getInfo.php?workbook=14_06.xlsx&amp;sheet=U0&amp;row=159&amp;col=7&amp;number=5.05e-05&amp;sourceID=14","5.05e-05")</f>
        <v>5.05e-05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HYPERLINK("http://141.218.60.56/~jnz1568/getInfo.php?workbook=14_06.xlsx&amp;sheet=U0&amp;row=160&amp;col=6&amp;number=4.6&amp;sourceID=14","4.6")</f>
        <v>4.6</v>
      </c>
      <c r="G160" s="4" t="str">
        <f>HYPERLINK("http://141.218.60.56/~jnz1568/getInfo.php?workbook=14_06.xlsx&amp;sheet=U0&amp;row=160&amp;col=7&amp;number=5.04e-05&amp;sourceID=14","5.04e-05")</f>
        <v>5.04e-05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HYPERLINK("http://141.218.60.56/~jnz1568/getInfo.php?workbook=14_06.xlsx&amp;sheet=U0&amp;row=161&amp;col=6&amp;number=4.7&amp;sourceID=14","4.7")</f>
        <v>4.7</v>
      </c>
      <c r="G161" s="4" t="str">
        <f>HYPERLINK("http://141.218.60.56/~jnz1568/getInfo.php?workbook=14_06.xlsx&amp;sheet=U0&amp;row=161&amp;col=7&amp;number=5.02e-05&amp;sourceID=14","5.02e-05")</f>
        <v>5.02e-05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HYPERLINK("http://141.218.60.56/~jnz1568/getInfo.php?workbook=14_06.xlsx&amp;sheet=U0&amp;row=162&amp;col=6&amp;number=4.8&amp;sourceID=14","4.8")</f>
        <v>4.8</v>
      </c>
      <c r="G162" s="4" t="str">
        <f>HYPERLINK("http://141.218.60.56/~jnz1568/getInfo.php?workbook=14_06.xlsx&amp;sheet=U0&amp;row=162&amp;col=7&amp;number=5.01e-05&amp;sourceID=14","5.01e-05")</f>
        <v>5.01e-05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HYPERLINK("http://141.218.60.56/~jnz1568/getInfo.php?workbook=14_06.xlsx&amp;sheet=U0&amp;row=163&amp;col=6&amp;number=4.9&amp;sourceID=14","4.9")</f>
        <v>4.9</v>
      </c>
      <c r="G163" s="4" t="str">
        <f>HYPERLINK("http://141.218.60.56/~jnz1568/getInfo.php?workbook=14_06.xlsx&amp;sheet=U0&amp;row=163&amp;col=7&amp;number=4.98e-05&amp;sourceID=14","4.98e-05")</f>
        <v>4.98e-05</v>
      </c>
    </row>
    <row r="164" spans="1:7">
      <c r="A164" s="3">
        <v>14</v>
      </c>
      <c r="B164" s="3">
        <v>6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HYPERLINK("http://141.218.60.56/~jnz1568/getInfo.php?workbook=14_06.xlsx&amp;sheet=U0&amp;row=164&amp;col=6&amp;number=3&amp;sourceID=14","3")</f>
        <v>3</v>
      </c>
      <c r="G164" s="4" t="str">
        <f>HYPERLINK("http://141.218.60.56/~jnz1568/getInfo.php?workbook=14_06.xlsx&amp;sheet=U0&amp;row=164&amp;col=7&amp;number=0.00161&amp;sourceID=14","0.00161")</f>
        <v>0.00161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HYPERLINK("http://141.218.60.56/~jnz1568/getInfo.php?workbook=14_06.xlsx&amp;sheet=U0&amp;row=165&amp;col=6&amp;number=3.1&amp;sourceID=14","3.1")</f>
        <v>3.1</v>
      </c>
      <c r="G165" s="4" t="str">
        <f>HYPERLINK("http://141.218.60.56/~jnz1568/getInfo.php?workbook=14_06.xlsx&amp;sheet=U0&amp;row=165&amp;col=7&amp;number=0.00161&amp;sourceID=14","0.00161")</f>
        <v>0.00161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HYPERLINK("http://141.218.60.56/~jnz1568/getInfo.php?workbook=14_06.xlsx&amp;sheet=U0&amp;row=166&amp;col=6&amp;number=3.2&amp;sourceID=14","3.2")</f>
        <v>3.2</v>
      </c>
      <c r="G166" s="4" t="str">
        <f>HYPERLINK("http://141.218.60.56/~jnz1568/getInfo.php?workbook=14_06.xlsx&amp;sheet=U0&amp;row=166&amp;col=7&amp;number=0.00161&amp;sourceID=14","0.00161")</f>
        <v>0.00161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HYPERLINK("http://141.218.60.56/~jnz1568/getInfo.php?workbook=14_06.xlsx&amp;sheet=U0&amp;row=167&amp;col=6&amp;number=3.3&amp;sourceID=14","3.3")</f>
        <v>3.3</v>
      </c>
      <c r="G167" s="4" t="str">
        <f>HYPERLINK("http://141.218.60.56/~jnz1568/getInfo.php?workbook=14_06.xlsx&amp;sheet=U0&amp;row=167&amp;col=7&amp;number=0.00161&amp;sourceID=14","0.00161")</f>
        <v>0.00161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HYPERLINK("http://141.218.60.56/~jnz1568/getInfo.php?workbook=14_06.xlsx&amp;sheet=U0&amp;row=168&amp;col=6&amp;number=3.4&amp;sourceID=14","3.4")</f>
        <v>3.4</v>
      </c>
      <c r="G168" s="4" t="str">
        <f>HYPERLINK("http://141.218.60.56/~jnz1568/getInfo.php?workbook=14_06.xlsx&amp;sheet=U0&amp;row=168&amp;col=7&amp;number=0.00161&amp;sourceID=14","0.00161")</f>
        <v>0.00161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HYPERLINK("http://141.218.60.56/~jnz1568/getInfo.php?workbook=14_06.xlsx&amp;sheet=U0&amp;row=169&amp;col=6&amp;number=3.5&amp;sourceID=14","3.5")</f>
        <v>3.5</v>
      </c>
      <c r="G169" s="4" t="str">
        <f>HYPERLINK("http://141.218.60.56/~jnz1568/getInfo.php?workbook=14_06.xlsx&amp;sheet=U0&amp;row=169&amp;col=7&amp;number=0.00161&amp;sourceID=14","0.00161")</f>
        <v>0.00161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HYPERLINK("http://141.218.60.56/~jnz1568/getInfo.php?workbook=14_06.xlsx&amp;sheet=U0&amp;row=170&amp;col=6&amp;number=3.6&amp;sourceID=14","3.6")</f>
        <v>3.6</v>
      </c>
      <c r="G170" s="4" t="str">
        <f>HYPERLINK("http://141.218.60.56/~jnz1568/getInfo.php?workbook=14_06.xlsx&amp;sheet=U0&amp;row=170&amp;col=7&amp;number=0.00161&amp;sourceID=14","0.00161")</f>
        <v>0.00161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HYPERLINK("http://141.218.60.56/~jnz1568/getInfo.php?workbook=14_06.xlsx&amp;sheet=U0&amp;row=171&amp;col=6&amp;number=3.7&amp;sourceID=14","3.7")</f>
        <v>3.7</v>
      </c>
      <c r="G171" s="4" t="str">
        <f>HYPERLINK("http://141.218.60.56/~jnz1568/getInfo.php?workbook=14_06.xlsx&amp;sheet=U0&amp;row=171&amp;col=7&amp;number=0.00161&amp;sourceID=14","0.00161")</f>
        <v>0.00161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HYPERLINK("http://141.218.60.56/~jnz1568/getInfo.php?workbook=14_06.xlsx&amp;sheet=U0&amp;row=172&amp;col=6&amp;number=3.8&amp;sourceID=14","3.8")</f>
        <v>3.8</v>
      </c>
      <c r="G172" s="4" t="str">
        <f>HYPERLINK("http://141.218.60.56/~jnz1568/getInfo.php?workbook=14_06.xlsx&amp;sheet=U0&amp;row=172&amp;col=7&amp;number=0.00161&amp;sourceID=14","0.00161")</f>
        <v>0.00161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HYPERLINK("http://141.218.60.56/~jnz1568/getInfo.php?workbook=14_06.xlsx&amp;sheet=U0&amp;row=173&amp;col=6&amp;number=3.9&amp;sourceID=14","3.9")</f>
        <v>3.9</v>
      </c>
      <c r="G173" s="4" t="str">
        <f>HYPERLINK("http://141.218.60.56/~jnz1568/getInfo.php?workbook=14_06.xlsx&amp;sheet=U0&amp;row=173&amp;col=7&amp;number=0.00161&amp;sourceID=14","0.00161")</f>
        <v>0.00161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HYPERLINK("http://141.218.60.56/~jnz1568/getInfo.php?workbook=14_06.xlsx&amp;sheet=U0&amp;row=174&amp;col=6&amp;number=4&amp;sourceID=14","4")</f>
        <v>4</v>
      </c>
      <c r="G174" s="4" t="str">
        <f>HYPERLINK("http://141.218.60.56/~jnz1568/getInfo.php?workbook=14_06.xlsx&amp;sheet=U0&amp;row=174&amp;col=7&amp;number=0.00161&amp;sourceID=14","0.00161")</f>
        <v>0.00161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HYPERLINK("http://141.218.60.56/~jnz1568/getInfo.php?workbook=14_06.xlsx&amp;sheet=U0&amp;row=175&amp;col=6&amp;number=4.1&amp;sourceID=14","4.1")</f>
        <v>4.1</v>
      </c>
      <c r="G175" s="4" t="str">
        <f>HYPERLINK("http://141.218.60.56/~jnz1568/getInfo.php?workbook=14_06.xlsx&amp;sheet=U0&amp;row=175&amp;col=7&amp;number=0.00161&amp;sourceID=14","0.00161")</f>
        <v>0.00161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HYPERLINK("http://141.218.60.56/~jnz1568/getInfo.php?workbook=14_06.xlsx&amp;sheet=U0&amp;row=176&amp;col=6&amp;number=4.2&amp;sourceID=14","4.2")</f>
        <v>4.2</v>
      </c>
      <c r="G176" s="4" t="str">
        <f>HYPERLINK("http://141.218.60.56/~jnz1568/getInfo.php?workbook=14_06.xlsx&amp;sheet=U0&amp;row=176&amp;col=7&amp;number=0.0016&amp;sourceID=14","0.0016")</f>
        <v>0.0016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HYPERLINK("http://141.218.60.56/~jnz1568/getInfo.php?workbook=14_06.xlsx&amp;sheet=U0&amp;row=177&amp;col=6&amp;number=4.3&amp;sourceID=14","4.3")</f>
        <v>4.3</v>
      </c>
      <c r="G177" s="4" t="str">
        <f>HYPERLINK("http://141.218.60.56/~jnz1568/getInfo.php?workbook=14_06.xlsx&amp;sheet=U0&amp;row=177&amp;col=7&amp;number=0.0016&amp;sourceID=14","0.0016")</f>
        <v>0.0016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HYPERLINK("http://141.218.60.56/~jnz1568/getInfo.php?workbook=14_06.xlsx&amp;sheet=U0&amp;row=178&amp;col=6&amp;number=4.4&amp;sourceID=14","4.4")</f>
        <v>4.4</v>
      </c>
      <c r="G178" s="4" t="str">
        <f>HYPERLINK("http://141.218.60.56/~jnz1568/getInfo.php?workbook=14_06.xlsx&amp;sheet=U0&amp;row=178&amp;col=7&amp;number=0.0016&amp;sourceID=14","0.0016")</f>
        <v>0.0016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HYPERLINK("http://141.218.60.56/~jnz1568/getInfo.php?workbook=14_06.xlsx&amp;sheet=U0&amp;row=179&amp;col=6&amp;number=4.5&amp;sourceID=14","4.5")</f>
        <v>4.5</v>
      </c>
      <c r="G179" s="4" t="str">
        <f>HYPERLINK("http://141.218.60.56/~jnz1568/getInfo.php?workbook=14_06.xlsx&amp;sheet=U0&amp;row=179&amp;col=7&amp;number=0.0016&amp;sourceID=14","0.0016")</f>
        <v>0.0016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HYPERLINK("http://141.218.60.56/~jnz1568/getInfo.php?workbook=14_06.xlsx&amp;sheet=U0&amp;row=180&amp;col=6&amp;number=4.6&amp;sourceID=14","4.6")</f>
        <v>4.6</v>
      </c>
      <c r="G180" s="4" t="str">
        <f>HYPERLINK("http://141.218.60.56/~jnz1568/getInfo.php?workbook=14_06.xlsx&amp;sheet=U0&amp;row=180&amp;col=7&amp;number=0.0016&amp;sourceID=14","0.0016")</f>
        <v>0.0016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HYPERLINK("http://141.218.60.56/~jnz1568/getInfo.php?workbook=14_06.xlsx&amp;sheet=U0&amp;row=181&amp;col=6&amp;number=4.7&amp;sourceID=14","4.7")</f>
        <v>4.7</v>
      </c>
      <c r="G181" s="4" t="str">
        <f>HYPERLINK("http://141.218.60.56/~jnz1568/getInfo.php?workbook=14_06.xlsx&amp;sheet=U0&amp;row=181&amp;col=7&amp;number=0.00159&amp;sourceID=14","0.00159")</f>
        <v>0.00159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HYPERLINK("http://141.218.60.56/~jnz1568/getInfo.php?workbook=14_06.xlsx&amp;sheet=U0&amp;row=182&amp;col=6&amp;number=4.8&amp;sourceID=14","4.8")</f>
        <v>4.8</v>
      </c>
      <c r="G182" s="4" t="str">
        <f>HYPERLINK("http://141.218.60.56/~jnz1568/getInfo.php?workbook=14_06.xlsx&amp;sheet=U0&amp;row=182&amp;col=7&amp;number=0.00159&amp;sourceID=14","0.00159")</f>
        <v>0.00159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HYPERLINK("http://141.218.60.56/~jnz1568/getInfo.php?workbook=14_06.xlsx&amp;sheet=U0&amp;row=183&amp;col=6&amp;number=4.9&amp;sourceID=14","4.9")</f>
        <v>4.9</v>
      </c>
      <c r="G183" s="4" t="str">
        <f>HYPERLINK("http://141.218.60.56/~jnz1568/getInfo.php?workbook=14_06.xlsx&amp;sheet=U0&amp;row=183&amp;col=7&amp;number=0.00158&amp;sourceID=14","0.00158")</f>
        <v>0.00158</v>
      </c>
    </row>
    <row r="184" spans="1:7">
      <c r="A184" s="3">
        <v>14</v>
      </c>
      <c r="B184" s="3">
        <v>6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HYPERLINK("http://141.218.60.56/~jnz1568/getInfo.php?workbook=14_06.xlsx&amp;sheet=U0&amp;row=184&amp;col=6&amp;number=3&amp;sourceID=14","3")</f>
        <v>3</v>
      </c>
      <c r="G184" s="4" t="str">
        <f>HYPERLINK("http://141.218.60.56/~jnz1568/getInfo.php?workbook=14_06.xlsx&amp;sheet=U0&amp;row=184&amp;col=7&amp;number=0.234&amp;sourceID=14","0.234")</f>
        <v>0.234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HYPERLINK("http://141.218.60.56/~jnz1568/getInfo.php?workbook=14_06.xlsx&amp;sheet=U0&amp;row=185&amp;col=6&amp;number=3.1&amp;sourceID=14","3.1")</f>
        <v>3.1</v>
      </c>
      <c r="G185" s="4" t="str">
        <f>HYPERLINK("http://141.218.60.56/~jnz1568/getInfo.php?workbook=14_06.xlsx&amp;sheet=U0&amp;row=185&amp;col=7&amp;number=0.234&amp;sourceID=14","0.234")</f>
        <v>0.234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HYPERLINK("http://141.218.60.56/~jnz1568/getInfo.php?workbook=14_06.xlsx&amp;sheet=U0&amp;row=186&amp;col=6&amp;number=3.2&amp;sourceID=14","3.2")</f>
        <v>3.2</v>
      </c>
      <c r="G186" s="4" t="str">
        <f>HYPERLINK("http://141.218.60.56/~jnz1568/getInfo.php?workbook=14_06.xlsx&amp;sheet=U0&amp;row=186&amp;col=7&amp;number=0.234&amp;sourceID=14","0.234")</f>
        <v>0.234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HYPERLINK("http://141.218.60.56/~jnz1568/getInfo.php?workbook=14_06.xlsx&amp;sheet=U0&amp;row=187&amp;col=6&amp;number=3.3&amp;sourceID=14","3.3")</f>
        <v>3.3</v>
      </c>
      <c r="G187" s="4" t="str">
        <f>HYPERLINK("http://141.218.60.56/~jnz1568/getInfo.php?workbook=14_06.xlsx&amp;sheet=U0&amp;row=187&amp;col=7&amp;number=0.234&amp;sourceID=14","0.234")</f>
        <v>0.234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HYPERLINK("http://141.218.60.56/~jnz1568/getInfo.php?workbook=14_06.xlsx&amp;sheet=U0&amp;row=188&amp;col=6&amp;number=3.4&amp;sourceID=14","3.4")</f>
        <v>3.4</v>
      </c>
      <c r="G188" s="4" t="str">
        <f>HYPERLINK("http://141.218.60.56/~jnz1568/getInfo.php?workbook=14_06.xlsx&amp;sheet=U0&amp;row=188&amp;col=7&amp;number=0.234&amp;sourceID=14","0.234")</f>
        <v>0.234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HYPERLINK("http://141.218.60.56/~jnz1568/getInfo.php?workbook=14_06.xlsx&amp;sheet=U0&amp;row=189&amp;col=6&amp;number=3.5&amp;sourceID=14","3.5")</f>
        <v>3.5</v>
      </c>
      <c r="G189" s="4" t="str">
        <f>HYPERLINK("http://141.218.60.56/~jnz1568/getInfo.php?workbook=14_06.xlsx&amp;sheet=U0&amp;row=189&amp;col=7&amp;number=0.234&amp;sourceID=14","0.234")</f>
        <v>0.234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HYPERLINK("http://141.218.60.56/~jnz1568/getInfo.php?workbook=14_06.xlsx&amp;sheet=U0&amp;row=190&amp;col=6&amp;number=3.6&amp;sourceID=14","3.6")</f>
        <v>3.6</v>
      </c>
      <c r="G190" s="4" t="str">
        <f>HYPERLINK("http://141.218.60.56/~jnz1568/getInfo.php?workbook=14_06.xlsx&amp;sheet=U0&amp;row=190&amp;col=7&amp;number=0.234&amp;sourceID=14","0.234")</f>
        <v>0.234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HYPERLINK("http://141.218.60.56/~jnz1568/getInfo.php?workbook=14_06.xlsx&amp;sheet=U0&amp;row=191&amp;col=6&amp;number=3.7&amp;sourceID=14","3.7")</f>
        <v>3.7</v>
      </c>
      <c r="G191" s="4" t="str">
        <f>HYPERLINK("http://141.218.60.56/~jnz1568/getInfo.php?workbook=14_06.xlsx&amp;sheet=U0&amp;row=191&amp;col=7&amp;number=0.234&amp;sourceID=14","0.234")</f>
        <v>0.234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HYPERLINK("http://141.218.60.56/~jnz1568/getInfo.php?workbook=14_06.xlsx&amp;sheet=U0&amp;row=192&amp;col=6&amp;number=3.8&amp;sourceID=14","3.8")</f>
        <v>3.8</v>
      </c>
      <c r="G192" s="4" t="str">
        <f>HYPERLINK("http://141.218.60.56/~jnz1568/getInfo.php?workbook=14_06.xlsx&amp;sheet=U0&amp;row=192&amp;col=7&amp;number=0.235&amp;sourceID=14","0.235")</f>
        <v>0.235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HYPERLINK("http://141.218.60.56/~jnz1568/getInfo.php?workbook=14_06.xlsx&amp;sheet=U0&amp;row=193&amp;col=6&amp;number=3.9&amp;sourceID=14","3.9")</f>
        <v>3.9</v>
      </c>
      <c r="G193" s="4" t="str">
        <f>HYPERLINK("http://141.218.60.56/~jnz1568/getInfo.php?workbook=14_06.xlsx&amp;sheet=U0&amp;row=193&amp;col=7&amp;number=0.235&amp;sourceID=14","0.235")</f>
        <v>0.235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HYPERLINK("http://141.218.60.56/~jnz1568/getInfo.php?workbook=14_06.xlsx&amp;sheet=U0&amp;row=194&amp;col=6&amp;number=4&amp;sourceID=14","4")</f>
        <v>4</v>
      </c>
      <c r="G194" s="4" t="str">
        <f>HYPERLINK("http://141.218.60.56/~jnz1568/getInfo.php?workbook=14_06.xlsx&amp;sheet=U0&amp;row=194&amp;col=7&amp;number=0.235&amp;sourceID=14","0.235")</f>
        <v>0.235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HYPERLINK("http://141.218.60.56/~jnz1568/getInfo.php?workbook=14_06.xlsx&amp;sheet=U0&amp;row=195&amp;col=6&amp;number=4.1&amp;sourceID=14","4.1")</f>
        <v>4.1</v>
      </c>
      <c r="G195" s="4" t="str">
        <f>HYPERLINK("http://141.218.60.56/~jnz1568/getInfo.php?workbook=14_06.xlsx&amp;sheet=U0&amp;row=195&amp;col=7&amp;number=0.235&amp;sourceID=14","0.235")</f>
        <v>0.235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HYPERLINK("http://141.218.60.56/~jnz1568/getInfo.php?workbook=14_06.xlsx&amp;sheet=U0&amp;row=196&amp;col=6&amp;number=4.2&amp;sourceID=14","4.2")</f>
        <v>4.2</v>
      </c>
      <c r="G196" s="4" t="str">
        <f>HYPERLINK("http://141.218.60.56/~jnz1568/getInfo.php?workbook=14_06.xlsx&amp;sheet=U0&amp;row=196&amp;col=7&amp;number=0.236&amp;sourceID=14","0.236")</f>
        <v>0.236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HYPERLINK("http://141.218.60.56/~jnz1568/getInfo.php?workbook=14_06.xlsx&amp;sheet=U0&amp;row=197&amp;col=6&amp;number=4.3&amp;sourceID=14","4.3")</f>
        <v>4.3</v>
      </c>
      <c r="G197" s="4" t="str">
        <f>HYPERLINK("http://141.218.60.56/~jnz1568/getInfo.php?workbook=14_06.xlsx&amp;sheet=U0&amp;row=197&amp;col=7&amp;number=0.236&amp;sourceID=14","0.236")</f>
        <v>0.236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HYPERLINK("http://141.218.60.56/~jnz1568/getInfo.php?workbook=14_06.xlsx&amp;sheet=U0&amp;row=198&amp;col=6&amp;number=4.4&amp;sourceID=14","4.4")</f>
        <v>4.4</v>
      </c>
      <c r="G198" s="4" t="str">
        <f>HYPERLINK("http://141.218.60.56/~jnz1568/getInfo.php?workbook=14_06.xlsx&amp;sheet=U0&amp;row=198&amp;col=7&amp;number=0.237&amp;sourceID=14","0.237")</f>
        <v>0.237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HYPERLINK("http://141.218.60.56/~jnz1568/getInfo.php?workbook=14_06.xlsx&amp;sheet=U0&amp;row=199&amp;col=6&amp;number=4.5&amp;sourceID=14","4.5")</f>
        <v>4.5</v>
      </c>
      <c r="G199" s="4" t="str">
        <f>HYPERLINK("http://141.218.60.56/~jnz1568/getInfo.php?workbook=14_06.xlsx&amp;sheet=U0&amp;row=199&amp;col=7&amp;number=0.237&amp;sourceID=14","0.237")</f>
        <v>0.237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HYPERLINK("http://141.218.60.56/~jnz1568/getInfo.php?workbook=14_06.xlsx&amp;sheet=U0&amp;row=200&amp;col=6&amp;number=4.6&amp;sourceID=14","4.6")</f>
        <v>4.6</v>
      </c>
      <c r="G200" s="4" t="str">
        <f>HYPERLINK("http://141.218.60.56/~jnz1568/getInfo.php?workbook=14_06.xlsx&amp;sheet=U0&amp;row=200&amp;col=7&amp;number=0.238&amp;sourceID=14","0.238")</f>
        <v>0.238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HYPERLINK("http://141.218.60.56/~jnz1568/getInfo.php?workbook=14_06.xlsx&amp;sheet=U0&amp;row=201&amp;col=6&amp;number=4.7&amp;sourceID=14","4.7")</f>
        <v>4.7</v>
      </c>
      <c r="G201" s="4" t="str">
        <f>HYPERLINK("http://141.218.60.56/~jnz1568/getInfo.php?workbook=14_06.xlsx&amp;sheet=U0&amp;row=201&amp;col=7&amp;number=0.24&amp;sourceID=14","0.24")</f>
        <v>0.24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HYPERLINK("http://141.218.60.56/~jnz1568/getInfo.php?workbook=14_06.xlsx&amp;sheet=U0&amp;row=202&amp;col=6&amp;number=4.8&amp;sourceID=14","4.8")</f>
        <v>4.8</v>
      </c>
      <c r="G202" s="4" t="str">
        <f>HYPERLINK("http://141.218.60.56/~jnz1568/getInfo.php?workbook=14_06.xlsx&amp;sheet=U0&amp;row=202&amp;col=7&amp;number=0.241&amp;sourceID=14","0.241")</f>
        <v>0.241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HYPERLINK("http://141.218.60.56/~jnz1568/getInfo.php?workbook=14_06.xlsx&amp;sheet=U0&amp;row=203&amp;col=6&amp;number=4.9&amp;sourceID=14","4.9")</f>
        <v>4.9</v>
      </c>
      <c r="G203" s="4" t="str">
        <f>HYPERLINK("http://141.218.60.56/~jnz1568/getInfo.php?workbook=14_06.xlsx&amp;sheet=U0&amp;row=203&amp;col=7&amp;number=0.243&amp;sourceID=14","0.243")</f>
        <v>0.243</v>
      </c>
    </row>
    <row r="204" spans="1:7">
      <c r="A204" s="3">
        <v>14</v>
      </c>
      <c r="B204" s="3">
        <v>6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HYPERLINK("http://141.218.60.56/~jnz1568/getInfo.php?workbook=14_06.xlsx&amp;sheet=U0&amp;row=204&amp;col=6&amp;number=3&amp;sourceID=14","3")</f>
        <v>3</v>
      </c>
      <c r="G204" s="4" t="str">
        <f>HYPERLINK("http://141.218.60.56/~jnz1568/getInfo.php?workbook=14_06.xlsx&amp;sheet=U0&amp;row=204&amp;col=7&amp;number=0.00279&amp;sourceID=14","0.00279")</f>
        <v>0.00279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HYPERLINK("http://141.218.60.56/~jnz1568/getInfo.php?workbook=14_06.xlsx&amp;sheet=U0&amp;row=205&amp;col=6&amp;number=3.1&amp;sourceID=14","3.1")</f>
        <v>3.1</v>
      </c>
      <c r="G205" s="4" t="str">
        <f>HYPERLINK("http://141.218.60.56/~jnz1568/getInfo.php?workbook=14_06.xlsx&amp;sheet=U0&amp;row=205&amp;col=7&amp;number=0.00279&amp;sourceID=14","0.00279")</f>
        <v>0.00279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HYPERLINK("http://141.218.60.56/~jnz1568/getInfo.php?workbook=14_06.xlsx&amp;sheet=U0&amp;row=206&amp;col=6&amp;number=3.2&amp;sourceID=14","3.2")</f>
        <v>3.2</v>
      </c>
      <c r="G206" s="4" t="str">
        <f>HYPERLINK("http://141.218.60.56/~jnz1568/getInfo.php?workbook=14_06.xlsx&amp;sheet=U0&amp;row=206&amp;col=7&amp;number=0.00279&amp;sourceID=14","0.00279")</f>
        <v>0.00279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HYPERLINK("http://141.218.60.56/~jnz1568/getInfo.php?workbook=14_06.xlsx&amp;sheet=U0&amp;row=207&amp;col=6&amp;number=3.3&amp;sourceID=14","3.3")</f>
        <v>3.3</v>
      </c>
      <c r="G207" s="4" t="str">
        <f>HYPERLINK("http://141.218.60.56/~jnz1568/getInfo.php?workbook=14_06.xlsx&amp;sheet=U0&amp;row=207&amp;col=7&amp;number=0.00278&amp;sourceID=14","0.00278")</f>
        <v>0.00278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HYPERLINK("http://141.218.60.56/~jnz1568/getInfo.php?workbook=14_06.xlsx&amp;sheet=U0&amp;row=208&amp;col=6&amp;number=3.4&amp;sourceID=14","3.4")</f>
        <v>3.4</v>
      </c>
      <c r="G208" s="4" t="str">
        <f>HYPERLINK("http://141.218.60.56/~jnz1568/getInfo.php?workbook=14_06.xlsx&amp;sheet=U0&amp;row=208&amp;col=7&amp;number=0.00278&amp;sourceID=14","0.00278")</f>
        <v>0.00278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HYPERLINK("http://141.218.60.56/~jnz1568/getInfo.php?workbook=14_06.xlsx&amp;sheet=U0&amp;row=209&amp;col=6&amp;number=3.5&amp;sourceID=14","3.5")</f>
        <v>3.5</v>
      </c>
      <c r="G209" s="4" t="str">
        <f>HYPERLINK("http://141.218.60.56/~jnz1568/getInfo.php?workbook=14_06.xlsx&amp;sheet=U0&amp;row=209&amp;col=7&amp;number=0.00278&amp;sourceID=14","0.00278")</f>
        <v>0.00278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HYPERLINK("http://141.218.60.56/~jnz1568/getInfo.php?workbook=14_06.xlsx&amp;sheet=U0&amp;row=210&amp;col=6&amp;number=3.6&amp;sourceID=14","3.6")</f>
        <v>3.6</v>
      </c>
      <c r="G210" s="4" t="str">
        <f>HYPERLINK("http://141.218.60.56/~jnz1568/getInfo.php?workbook=14_06.xlsx&amp;sheet=U0&amp;row=210&amp;col=7&amp;number=0.00278&amp;sourceID=14","0.00278")</f>
        <v>0.00278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HYPERLINK("http://141.218.60.56/~jnz1568/getInfo.php?workbook=14_06.xlsx&amp;sheet=U0&amp;row=211&amp;col=6&amp;number=3.7&amp;sourceID=14","3.7")</f>
        <v>3.7</v>
      </c>
      <c r="G211" s="4" t="str">
        <f>HYPERLINK("http://141.218.60.56/~jnz1568/getInfo.php?workbook=14_06.xlsx&amp;sheet=U0&amp;row=211&amp;col=7&amp;number=0.00278&amp;sourceID=14","0.00278")</f>
        <v>0.00278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HYPERLINK("http://141.218.60.56/~jnz1568/getInfo.php?workbook=14_06.xlsx&amp;sheet=U0&amp;row=212&amp;col=6&amp;number=3.8&amp;sourceID=14","3.8")</f>
        <v>3.8</v>
      </c>
      <c r="G212" s="4" t="str">
        <f>HYPERLINK("http://141.218.60.56/~jnz1568/getInfo.php?workbook=14_06.xlsx&amp;sheet=U0&amp;row=212&amp;col=7&amp;number=0.00278&amp;sourceID=14","0.00278")</f>
        <v>0.00278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HYPERLINK("http://141.218.60.56/~jnz1568/getInfo.php?workbook=14_06.xlsx&amp;sheet=U0&amp;row=213&amp;col=6&amp;number=3.9&amp;sourceID=14","3.9")</f>
        <v>3.9</v>
      </c>
      <c r="G213" s="4" t="str">
        <f>HYPERLINK("http://141.218.60.56/~jnz1568/getInfo.php?workbook=14_06.xlsx&amp;sheet=U0&amp;row=213&amp;col=7&amp;number=0.00278&amp;sourceID=14","0.00278")</f>
        <v>0.00278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HYPERLINK("http://141.218.60.56/~jnz1568/getInfo.php?workbook=14_06.xlsx&amp;sheet=U0&amp;row=214&amp;col=6&amp;number=4&amp;sourceID=14","4")</f>
        <v>4</v>
      </c>
      <c r="G214" s="4" t="str">
        <f>HYPERLINK("http://141.218.60.56/~jnz1568/getInfo.php?workbook=14_06.xlsx&amp;sheet=U0&amp;row=214&amp;col=7&amp;number=0.00278&amp;sourceID=14","0.00278")</f>
        <v>0.00278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HYPERLINK("http://141.218.60.56/~jnz1568/getInfo.php?workbook=14_06.xlsx&amp;sheet=U0&amp;row=215&amp;col=6&amp;number=4.1&amp;sourceID=14","4.1")</f>
        <v>4.1</v>
      </c>
      <c r="G215" s="4" t="str">
        <f>HYPERLINK("http://141.218.60.56/~jnz1568/getInfo.php?workbook=14_06.xlsx&amp;sheet=U0&amp;row=215&amp;col=7&amp;number=0.00278&amp;sourceID=14","0.00278")</f>
        <v>0.00278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HYPERLINK("http://141.218.60.56/~jnz1568/getInfo.php?workbook=14_06.xlsx&amp;sheet=U0&amp;row=216&amp;col=6&amp;number=4.2&amp;sourceID=14","4.2")</f>
        <v>4.2</v>
      </c>
      <c r="G216" s="4" t="str">
        <f>HYPERLINK("http://141.218.60.56/~jnz1568/getInfo.php?workbook=14_06.xlsx&amp;sheet=U0&amp;row=216&amp;col=7&amp;number=0.00278&amp;sourceID=14","0.00278")</f>
        <v>0.00278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HYPERLINK("http://141.218.60.56/~jnz1568/getInfo.php?workbook=14_06.xlsx&amp;sheet=U0&amp;row=217&amp;col=6&amp;number=4.3&amp;sourceID=14","4.3")</f>
        <v>4.3</v>
      </c>
      <c r="G217" s="4" t="str">
        <f>HYPERLINK("http://141.218.60.56/~jnz1568/getInfo.php?workbook=14_06.xlsx&amp;sheet=U0&amp;row=217&amp;col=7&amp;number=0.00277&amp;sourceID=14","0.00277")</f>
        <v>0.00277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HYPERLINK("http://141.218.60.56/~jnz1568/getInfo.php?workbook=14_06.xlsx&amp;sheet=U0&amp;row=218&amp;col=6&amp;number=4.4&amp;sourceID=14","4.4")</f>
        <v>4.4</v>
      </c>
      <c r="G218" s="4" t="str">
        <f>HYPERLINK("http://141.218.60.56/~jnz1568/getInfo.php?workbook=14_06.xlsx&amp;sheet=U0&amp;row=218&amp;col=7&amp;number=0.00277&amp;sourceID=14","0.00277")</f>
        <v>0.00277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HYPERLINK("http://141.218.60.56/~jnz1568/getInfo.php?workbook=14_06.xlsx&amp;sheet=U0&amp;row=219&amp;col=6&amp;number=4.5&amp;sourceID=14","4.5")</f>
        <v>4.5</v>
      </c>
      <c r="G219" s="4" t="str">
        <f>HYPERLINK("http://141.218.60.56/~jnz1568/getInfo.php?workbook=14_06.xlsx&amp;sheet=U0&amp;row=219&amp;col=7&amp;number=0.00277&amp;sourceID=14","0.00277")</f>
        <v>0.00277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HYPERLINK("http://141.218.60.56/~jnz1568/getInfo.php?workbook=14_06.xlsx&amp;sheet=U0&amp;row=220&amp;col=6&amp;number=4.6&amp;sourceID=14","4.6")</f>
        <v>4.6</v>
      </c>
      <c r="G220" s="4" t="str">
        <f>HYPERLINK("http://141.218.60.56/~jnz1568/getInfo.php?workbook=14_06.xlsx&amp;sheet=U0&amp;row=220&amp;col=7&amp;number=0.00276&amp;sourceID=14","0.00276")</f>
        <v>0.00276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HYPERLINK("http://141.218.60.56/~jnz1568/getInfo.php?workbook=14_06.xlsx&amp;sheet=U0&amp;row=221&amp;col=6&amp;number=4.7&amp;sourceID=14","4.7")</f>
        <v>4.7</v>
      </c>
      <c r="G221" s="4" t="str">
        <f>HYPERLINK("http://141.218.60.56/~jnz1568/getInfo.php?workbook=14_06.xlsx&amp;sheet=U0&amp;row=221&amp;col=7&amp;number=0.00275&amp;sourceID=14","0.00275")</f>
        <v>0.00275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HYPERLINK("http://141.218.60.56/~jnz1568/getInfo.php?workbook=14_06.xlsx&amp;sheet=U0&amp;row=222&amp;col=6&amp;number=4.8&amp;sourceID=14","4.8")</f>
        <v>4.8</v>
      </c>
      <c r="G222" s="4" t="str">
        <f>HYPERLINK("http://141.218.60.56/~jnz1568/getInfo.php?workbook=14_06.xlsx&amp;sheet=U0&amp;row=222&amp;col=7&amp;number=0.00275&amp;sourceID=14","0.00275")</f>
        <v>0.00275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HYPERLINK("http://141.218.60.56/~jnz1568/getInfo.php?workbook=14_06.xlsx&amp;sheet=U0&amp;row=223&amp;col=6&amp;number=4.9&amp;sourceID=14","4.9")</f>
        <v>4.9</v>
      </c>
      <c r="G223" s="4" t="str">
        <f>HYPERLINK("http://141.218.60.56/~jnz1568/getInfo.php?workbook=14_06.xlsx&amp;sheet=U0&amp;row=223&amp;col=7&amp;number=0.00274&amp;sourceID=14","0.00274")</f>
        <v>0.00274</v>
      </c>
    </row>
    <row r="224" spans="1:7">
      <c r="A224" s="3">
        <v>14</v>
      </c>
      <c r="B224" s="3">
        <v>6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HYPERLINK("http://141.218.60.56/~jnz1568/getInfo.php?workbook=14_06.xlsx&amp;sheet=U0&amp;row=224&amp;col=6&amp;number=3&amp;sourceID=14","3")</f>
        <v>3</v>
      </c>
      <c r="G224" s="4" t="str">
        <f>HYPERLINK("http://141.218.60.56/~jnz1568/getInfo.php?workbook=14_06.xlsx&amp;sheet=U0&amp;row=224&amp;col=7&amp;number=0.0068&amp;sourceID=14","0.0068")</f>
        <v>0.0068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HYPERLINK("http://141.218.60.56/~jnz1568/getInfo.php?workbook=14_06.xlsx&amp;sheet=U0&amp;row=225&amp;col=6&amp;number=3.1&amp;sourceID=14","3.1")</f>
        <v>3.1</v>
      </c>
      <c r="G225" s="4" t="str">
        <f>HYPERLINK("http://141.218.60.56/~jnz1568/getInfo.php?workbook=14_06.xlsx&amp;sheet=U0&amp;row=225&amp;col=7&amp;number=0.0068&amp;sourceID=14","0.0068")</f>
        <v>0.0068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HYPERLINK("http://141.218.60.56/~jnz1568/getInfo.php?workbook=14_06.xlsx&amp;sheet=U0&amp;row=226&amp;col=6&amp;number=3.2&amp;sourceID=14","3.2")</f>
        <v>3.2</v>
      </c>
      <c r="G226" s="4" t="str">
        <f>HYPERLINK("http://141.218.60.56/~jnz1568/getInfo.php?workbook=14_06.xlsx&amp;sheet=U0&amp;row=226&amp;col=7&amp;number=0.0068&amp;sourceID=14","0.0068")</f>
        <v>0.0068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HYPERLINK("http://141.218.60.56/~jnz1568/getInfo.php?workbook=14_06.xlsx&amp;sheet=U0&amp;row=227&amp;col=6&amp;number=3.3&amp;sourceID=14","3.3")</f>
        <v>3.3</v>
      </c>
      <c r="G227" s="4" t="str">
        <f>HYPERLINK("http://141.218.60.56/~jnz1568/getInfo.php?workbook=14_06.xlsx&amp;sheet=U0&amp;row=227&amp;col=7&amp;number=0.0068&amp;sourceID=14","0.0068")</f>
        <v>0.0068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HYPERLINK("http://141.218.60.56/~jnz1568/getInfo.php?workbook=14_06.xlsx&amp;sheet=U0&amp;row=228&amp;col=6&amp;number=3.4&amp;sourceID=14","3.4")</f>
        <v>3.4</v>
      </c>
      <c r="G228" s="4" t="str">
        <f>HYPERLINK("http://141.218.60.56/~jnz1568/getInfo.php?workbook=14_06.xlsx&amp;sheet=U0&amp;row=228&amp;col=7&amp;number=0.0068&amp;sourceID=14","0.0068")</f>
        <v>0.0068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HYPERLINK("http://141.218.60.56/~jnz1568/getInfo.php?workbook=14_06.xlsx&amp;sheet=U0&amp;row=229&amp;col=6&amp;number=3.5&amp;sourceID=14","3.5")</f>
        <v>3.5</v>
      </c>
      <c r="G229" s="4" t="str">
        <f>HYPERLINK("http://141.218.60.56/~jnz1568/getInfo.php?workbook=14_06.xlsx&amp;sheet=U0&amp;row=229&amp;col=7&amp;number=0.0068&amp;sourceID=14","0.0068")</f>
        <v>0.0068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HYPERLINK("http://141.218.60.56/~jnz1568/getInfo.php?workbook=14_06.xlsx&amp;sheet=U0&amp;row=230&amp;col=6&amp;number=3.6&amp;sourceID=14","3.6")</f>
        <v>3.6</v>
      </c>
      <c r="G230" s="4" t="str">
        <f>HYPERLINK("http://141.218.60.56/~jnz1568/getInfo.php?workbook=14_06.xlsx&amp;sheet=U0&amp;row=230&amp;col=7&amp;number=0.00679&amp;sourceID=14","0.00679")</f>
        <v>0.00679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HYPERLINK("http://141.218.60.56/~jnz1568/getInfo.php?workbook=14_06.xlsx&amp;sheet=U0&amp;row=231&amp;col=6&amp;number=3.7&amp;sourceID=14","3.7")</f>
        <v>3.7</v>
      </c>
      <c r="G231" s="4" t="str">
        <f>HYPERLINK("http://141.218.60.56/~jnz1568/getInfo.php?workbook=14_06.xlsx&amp;sheet=U0&amp;row=231&amp;col=7&amp;number=0.00679&amp;sourceID=14","0.00679")</f>
        <v>0.00679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HYPERLINK("http://141.218.60.56/~jnz1568/getInfo.php?workbook=14_06.xlsx&amp;sheet=U0&amp;row=232&amp;col=6&amp;number=3.8&amp;sourceID=14","3.8")</f>
        <v>3.8</v>
      </c>
      <c r="G232" s="4" t="str">
        <f>HYPERLINK("http://141.218.60.56/~jnz1568/getInfo.php?workbook=14_06.xlsx&amp;sheet=U0&amp;row=232&amp;col=7&amp;number=0.00679&amp;sourceID=14","0.00679")</f>
        <v>0.00679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HYPERLINK("http://141.218.60.56/~jnz1568/getInfo.php?workbook=14_06.xlsx&amp;sheet=U0&amp;row=233&amp;col=6&amp;number=3.9&amp;sourceID=14","3.9")</f>
        <v>3.9</v>
      </c>
      <c r="G233" s="4" t="str">
        <f>HYPERLINK("http://141.218.60.56/~jnz1568/getInfo.php?workbook=14_06.xlsx&amp;sheet=U0&amp;row=233&amp;col=7&amp;number=0.00679&amp;sourceID=14","0.00679")</f>
        <v>0.00679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HYPERLINK("http://141.218.60.56/~jnz1568/getInfo.php?workbook=14_06.xlsx&amp;sheet=U0&amp;row=234&amp;col=6&amp;number=4&amp;sourceID=14","4")</f>
        <v>4</v>
      </c>
      <c r="G234" s="4" t="str">
        <f>HYPERLINK("http://141.218.60.56/~jnz1568/getInfo.php?workbook=14_06.xlsx&amp;sheet=U0&amp;row=234&amp;col=7&amp;number=0.00678&amp;sourceID=14","0.00678")</f>
        <v>0.00678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HYPERLINK("http://141.218.60.56/~jnz1568/getInfo.php?workbook=14_06.xlsx&amp;sheet=U0&amp;row=235&amp;col=6&amp;number=4.1&amp;sourceID=14","4.1")</f>
        <v>4.1</v>
      </c>
      <c r="G235" s="4" t="str">
        <f>HYPERLINK("http://141.218.60.56/~jnz1568/getInfo.php?workbook=14_06.xlsx&amp;sheet=U0&amp;row=235&amp;col=7&amp;number=0.00678&amp;sourceID=14","0.00678")</f>
        <v>0.00678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HYPERLINK("http://141.218.60.56/~jnz1568/getInfo.php?workbook=14_06.xlsx&amp;sheet=U0&amp;row=236&amp;col=6&amp;number=4.2&amp;sourceID=14","4.2")</f>
        <v>4.2</v>
      </c>
      <c r="G236" s="4" t="str">
        <f>HYPERLINK("http://141.218.60.56/~jnz1568/getInfo.php?workbook=14_06.xlsx&amp;sheet=U0&amp;row=236&amp;col=7&amp;number=0.00678&amp;sourceID=14","0.00678")</f>
        <v>0.00678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HYPERLINK("http://141.218.60.56/~jnz1568/getInfo.php?workbook=14_06.xlsx&amp;sheet=U0&amp;row=237&amp;col=6&amp;number=4.3&amp;sourceID=14","4.3")</f>
        <v>4.3</v>
      </c>
      <c r="G237" s="4" t="str">
        <f>HYPERLINK("http://141.218.60.56/~jnz1568/getInfo.php?workbook=14_06.xlsx&amp;sheet=U0&amp;row=237&amp;col=7&amp;number=0.00677&amp;sourceID=14","0.00677")</f>
        <v>0.00677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HYPERLINK("http://141.218.60.56/~jnz1568/getInfo.php?workbook=14_06.xlsx&amp;sheet=U0&amp;row=238&amp;col=6&amp;number=4.4&amp;sourceID=14","4.4")</f>
        <v>4.4</v>
      </c>
      <c r="G238" s="4" t="str">
        <f>HYPERLINK("http://141.218.60.56/~jnz1568/getInfo.php?workbook=14_06.xlsx&amp;sheet=U0&amp;row=238&amp;col=7&amp;number=0.00676&amp;sourceID=14","0.00676")</f>
        <v>0.00676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HYPERLINK("http://141.218.60.56/~jnz1568/getInfo.php?workbook=14_06.xlsx&amp;sheet=U0&amp;row=239&amp;col=6&amp;number=4.5&amp;sourceID=14","4.5")</f>
        <v>4.5</v>
      </c>
      <c r="G239" s="4" t="str">
        <f>HYPERLINK("http://141.218.60.56/~jnz1568/getInfo.php?workbook=14_06.xlsx&amp;sheet=U0&amp;row=239&amp;col=7&amp;number=0.00675&amp;sourceID=14","0.00675")</f>
        <v>0.00675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HYPERLINK("http://141.218.60.56/~jnz1568/getInfo.php?workbook=14_06.xlsx&amp;sheet=U0&amp;row=240&amp;col=6&amp;number=4.6&amp;sourceID=14","4.6")</f>
        <v>4.6</v>
      </c>
      <c r="G240" s="4" t="str">
        <f>HYPERLINK("http://141.218.60.56/~jnz1568/getInfo.php?workbook=14_06.xlsx&amp;sheet=U0&amp;row=240&amp;col=7&amp;number=0.00674&amp;sourceID=14","0.00674")</f>
        <v>0.00674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HYPERLINK("http://141.218.60.56/~jnz1568/getInfo.php?workbook=14_06.xlsx&amp;sheet=U0&amp;row=241&amp;col=6&amp;number=4.7&amp;sourceID=14","4.7")</f>
        <v>4.7</v>
      </c>
      <c r="G241" s="4" t="str">
        <f>HYPERLINK("http://141.218.60.56/~jnz1568/getInfo.php?workbook=14_06.xlsx&amp;sheet=U0&amp;row=241&amp;col=7&amp;number=0.00672&amp;sourceID=14","0.00672")</f>
        <v>0.00672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HYPERLINK("http://141.218.60.56/~jnz1568/getInfo.php?workbook=14_06.xlsx&amp;sheet=U0&amp;row=242&amp;col=6&amp;number=4.8&amp;sourceID=14","4.8")</f>
        <v>4.8</v>
      </c>
      <c r="G242" s="4" t="str">
        <f>HYPERLINK("http://141.218.60.56/~jnz1568/getInfo.php?workbook=14_06.xlsx&amp;sheet=U0&amp;row=242&amp;col=7&amp;number=0.0067&amp;sourceID=14","0.0067")</f>
        <v>0.0067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HYPERLINK("http://141.218.60.56/~jnz1568/getInfo.php?workbook=14_06.xlsx&amp;sheet=U0&amp;row=243&amp;col=6&amp;number=4.9&amp;sourceID=14","4.9")</f>
        <v>4.9</v>
      </c>
      <c r="G243" s="4" t="str">
        <f>HYPERLINK("http://141.218.60.56/~jnz1568/getInfo.php?workbook=14_06.xlsx&amp;sheet=U0&amp;row=243&amp;col=7&amp;number=0.00668&amp;sourceID=14","0.00668")</f>
        <v>0.00668</v>
      </c>
    </row>
    <row r="244" spans="1:7">
      <c r="A244" s="3">
        <v>14</v>
      </c>
      <c r="B244" s="3">
        <v>6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HYPERLINK("http://141.218.60.56/~jnz1568/getInfo.php?workbook=14_06.xlsx&amp;sheet=U0&amp;row=244&amp;col=6&amp;number=3&amp;sourceID=14","3")</f>
        <v>3</v>
      </c>
      <c r="G244" s="4" t="str">
        <f>HYPERLINK("http://141.218.60.56/~jnz1568/getInfo.php?workbook=14_06.xlsx&amp;sheet=U0&amp;row=244&amp;col=7&amp;number=0.195&amp;sourceID=14","0.195")</f>
        <v>0.195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HYPERLINK("http://141.218.60.56/~jnz1568/getInfo.php?workbook=14_06.xlsx&amp;sheet=U0&amp;row=245&amp;col=6&amp;number=3.1&amp;sourceID=14","3.1")</f>
        <v>3.1</v>
      </c>
      <c r="G245" s="4" t="str">
        <f>HYPERLINK("http://141.218.60.56/~jnz1568/getInfo.php?workbook=14_06.xlsx&amp;sheet=U0&amp;row=245&amp;col=7&amp;number=0.195&amp;sourceID=14","0.195")</f>
        <v>0.195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HYPERLINK("http://141.218.60.56/~jnz1568/getInfo.php?workbook=14_06.xlsx&amp;sheet=U0&amp;row=246&amp;col=6&amp;number=3.2&amp;sourceID=14","3.2")</f>
        <v>3.2</v>
      </c>
      <c r="G246" s="4" t="str">
        <f>HYPERLINK("http://141.218.60.56/~jnz1568/getInfo.php?workbook=14_06.xlsx&amp;sheet=U0&amp;row=246&amp;col=7&amp;number=0.196&amp;sourceID=14","0.196")</f>
        <v>0.196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HYPERLINK("http://141.218.60.56/~jnz1568/getInfo.php?workbook=14_06.xlsx&amp;sheet=U0&amp;row=247&amp;col=6&amp;number=3.3&amp;sourceID=14","3.3")</f>
        <v>3.3</v>
      </c>
      <c r="G247" s="4" t="str">
        <f>HYPERLINK("http://141.218.60.56/~jnz1568/getInfo.php?workbook=14_06.xlsx&amp;sheet=U0&amp;row=247&amp;col=7&amp;number=0.196&amp;sourceID=14","0.196")</f>
        <v>0.196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HYPERLINK("http://141.218.60.56/~jnz1568/getInfo.php?workbook=14_06.xlsx&amp;sheet=U0&amp;row=248&amp;col=6&amp;number=3.4&amp;sourceID=14","3.4")</f>
        <v>3.4</v>
      </c>
      <c r="G248" s="4" t="str">
        <f>HYPERLINK("http://141.218.60.56/~jnz1568/getInfo.php?workbook=14_06.xlsx&amp;sheet=U0&amp;row=248&amp;col=7&amp;number=0.196&amp;sourceID=14","0.196")</f>
        <v>0.196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HYPERLINK("http://141.218.60.56/~jnz1568/getInfo.php?workbook=14_06.xlsx&amp;sheet=U0&amp;row=249&amp;col=6&amp;number=3.5&amp;sourceID=14","3.5")</f>
        <v>3.5</v>
      </c>
      <c r="G249" s="4" t="str">
        <f>HYPERLINK("http://141.218.60.56/~jnz1568/getInfo.php?workbook=14_06.xlsx&amp;sheet=U0&amp;row=249&amp;col=7&amp;number=0.196&amp;sourceID=14","0.196")</f>
        <v>0.196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HYPERLINK("http://141.218.60.56/~jnz1568/getInfo.php?workbook=14_06.xlsx&amp;sheet=U0&amp;row=250&amp;col=6&amp;number=3.6&amp;sourceID=14","3.6")</f>
        <v>3.6</v>
      </c>
      <c r="G250" s="4" t="str">
        <f>HYPERLINK("http://141.218.60.56/~jnz1568/getInfo.php?workbook=14_06.xlsx&amp;sheet=U0&amp;row=250&amp;col=7&amp;number=0.196&amp;sourceID=14","0.196")</f>
        <v>0.196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HYPERLINK("http://141.218.60.56/~jnz1568/getInfo.php?workbook=14_06.xlsx&amp;sheet=U0&amp;row=251&amp;col=6&amp;number=3.7&amp;sourceID=14","3.7")</f>
        <v>3.7</v>
      </c>
      <c r="G251" s="4" t="str">
        <f>HYPERLINK("http://141.218.60.56/~jnz1568/getInfo.php?workbook=14_06.xlsx&amp;sheet=U0&amp;row=251&amp;col=7&amp;number=0.196&amp;sourceID=14","0.196")</f>
        <v>0.196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HYPERLINK("http://141.218.60.56/~jnz1568/getInfo.php?workbook=14_06.xlsx&amp;sheet=U0&amp;row=252&amp;col=6&amp;number=3.8&amp;sourceID=14","3.8")</f>
        <v>3.8</v>
      </c>
      <c r="G252" s="4" t="str">
        <f>HYPERLINK("http://141.218.60.56/~jnz1568/getInfo.php?workbook=14_06.xlsx&amp;sheet=U0&amp;row=252&amp;col=7&amp;number=0.196&amp;sourceID=14","0.196")</f>
        <v>0.196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HYPERLINK("http://141.218.60.56/~jnz1568/getInfo.php?workbook=14_06.xlsx&amp;sheet=U0&amp;row=253&amp;col=6&amp;number=3.9&amp;sourceID=14","3.9")</f>
        <v>3.9</v>
      </c>
      <c r="G253" s="4" t="str">
        <f>HYPERLINK("http://141.218.60.56/~jnz1568/getInfo.php?workbook=14_06.xlsx&amp;sheet=U0&amp;row=253&amp;col=7&amp;number=0.196&amp;sourceID=14","0.196")</f>
        <v>0.196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HYPERLINK("http://141.218.60.56/~jnz1568/getInfo.php?workbook=14_06.xlsx&amp;sheet=U0&amp;row=254&amp;col=6&amp;number=4&amp;sourceID=14","4")</f>
        <v>4</v>
      </c>
      <c r="G254" s="4" t="str">
        <f>HYPERLINK("http://141.218.60.56/~jnz1568/getInfo.php?workbook=14_06.xlsx&amp;sheet=U0&amp;row=254&amp;col=7&amp;number=0.196&amp;sourceID=14","0.196")</f>
        <v>0.196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HYPERLINK("http://141.218.60.56/~jnz1568/getInfo.php?workbook=14_06.xlsx&amp;sheet=U0&amp;row=255&amp;col=6&amp;number=4.1&amp;sourceID=14","4.1")</f>
        <v>4.1</v>
      </c>
      <c r="G255" s="4" t="str">
        <f>HYPERLINK("http://141.218.60.56/~jnz1568/getInfo.php?workbook=14_06.xlsx&amp;sheet=U0&amp;row=255&amp;col=7&amp;number=0.196&amp;sourceID=14","0.196")</f>
        <v>0.196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HYPERLINK("http://141.218.60.56/~jnz1568/getInfo.php?workbook=14_06.xlsx&amp;sheet=U0&amp;row=256&amp;col=6&amp;number=4.2&amp;sourceID=14","4.2")</f>
        <v>4.2</v>
      </c>
      <c r="G256" s="4" t="str">
        <f>HYPERLINK("http://141.218.60.56/~jnz1568/getInfo.php?workbook=14_06.xlsx&amp;sheet=U0&amp;row=256&amp;col=7&amp;number=0.196&amp;sourceID=14","0.196")</f>
        <v>0.196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HYPERLINK("http://141.218.60.56/~jnz1568/getInfo.php?workbook=14_06.xlsx&amp;sheet=U0&amp;row=257&amp;col=6&amp;number=4.3&amp;sourceID=14","4.3")</f>
        <v>4.3</v>
      </c>
      <c r="G257" s="4" t="str">
        <f>HYPERLINK("http://141.218.60.56/~jnz1568/getInfo.php?workbook=14_06.xlsx&amp;sheet=U0&amp;row=257&amp;col=7&amp;number=0.197&amp;sourceID=14","0.197")</f>
        <v>0.197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HYPERLINK("http://141.218.60.56/~jnz1568/getInfo.php?workbook=14_06.xlsx&amp;sheet=U0&amp;row=258&amp;col=6&amp;number=4.4&amp;sourceID=14","4.4")</f>
        <v>4.4</v>
      </c>
      <c r="G258" s="4" t="str">
        <f>HYPERLINK("http://141.218.60.56/~jnz1568/getInfo.php?workbook=14_06.xlsx&amp;sheet=U0&amp;row=258&amp;col=7&amp;number=0.197&amp;sourceID=14","0.197")</f>
        <v>0.197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HYPERLINK("http://141.218.60.56/~jnz1568/getInfo.php?workbook=14_06.xlsx&amp;sheet=U0&amp;row=259&amp;col=6&amp;number=4.5&amp;sourceID=14","4.5")</f>
        <v>4.5</v>
      </c>
      <c r="G259" s="4" t="str">
        <f>HYPERLINK("http://141.218.60.56/~jnz1568/getInfo.php?workbook=14_06.xlsx&amp;sheet=U0&amp;row=259&amp;col=7&amp;number=0.198&amp;sourceID=14","0.198")</f>
        <v>0.198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HYPERLINK("http://141.218.60.56/~jnz1568/getInfo.php?workbook=14_06.xlsx&amp;sheet=U0&amp;row=260&amp;col=6&amp;number=4.6&amp;sourceID=14","4.6")</f>
        <v>4.6</v>
      </c>
      <c r="G260" s="4" t="str">
        <f>HYPERLINK("http://141.218.60.56/~jnz1568/getInfo.php?workbook=14_06.xlsx&amp;sheet=U0&amp;row=260&amp;col=7&amp;number=0.198&amp;sourceID=14","0.198")</f>
        <v>0.198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HYPERLINK("http://141.218.60.56/~jnz1568/getInfo.php?workbook=14_06.xlsx&amp;sheet=U0&amp;row=261&amp;col=6&amp;number=4.7&amp;sourceID=14","4.7")</f>
        <v>4.7</v>
      </c>
      <c r="G261" s="4" t="str">
        <f>HYPERLINK("http://141.218.60.56/~jnz1568/getInfo.php?workbook=14_06.xlsx&amp;sheet=U0&amp;row=261&amp;col=7&amp;number=0.199&amp;sourceID=14","0.199")</f>
        <v>0.199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HYPERLINK("http://141.218.60.56/~jnz1568/getInfo.php?workbook=14_06.xlsx&amp;sheet=U0&amp;row=262&amp;col=6&amp;number=4.8&amp;sourceID=14","4.8")</f>
        <v>4.8</v>
      </c>
      <c r="G262" s="4" t="str">
        <f>HYPERLINK("http://141.218.60.56/~jnz1568/getInfo.php?workbook=14_06.xlsx&amp;sheet=U0&amp;row=262&amp;col=7&amp;number=0.2&amp;sourceID=14","0.2")</f>
        <v>0.2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HYPERLINK("http://141.218.60.56/~jnz1568/getInfo.php?workbook=14_06.xlsx&amp;sheet=U0&amp;row=263&amp;col=6&amp;number=4.9&amp;sourceID=14","4.9")</f>
        <v>4.9</v>
      </c>
      <c r="G263" s="4" t="str">
        <f>HYPERLINK("http://141.218.60.56/~jnz1568/getInfo.php?workbook=14_06.xlsx&amp;sheet=U0&amp;row=263&amp;col=7&amp;number=0.201&amp;sourceID=14","0.201")</f>
        <v>0.201</v>
      </c>
    </row>
    <row r="264" spans="1:7">
      <c r="A264" s="3">
        <v>14</v>
      </c>
      <c r="B264" s="3">
        <v>6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HYPERLINK("http://141.218.60.56/~jnz1568/getInfo.php?workbook=14_06.xlsx&amp;sheet=U0&amp;row=264&amp;col=6&amp;number=3&amp;sourceID=14","3")</f>
        <v>3</v>
      </c>
      <c r="G264" s="4" t="str">
        <f>HYPERLINK("http://141.218.60.56/~jnz1568/getInfo.php?workbook=14_06.xlsx&amp;sheet=U0&amp;row=264&amp;col=7&amp;number=0.00248&amp;sourceID=14","0.00248")</f>
        <v>0.00248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HYPERLINK("http://141.218.60.56/~jnz1568/getInfo.php?workbook=14_06.xlsx&amp;sheet=U0&amp;row=265&amp;col=6&amp;number=3.1&amp;sourceID=14","3.1")</f>
        <v>3.1</v>
      </c>
      <c r="G265" s="4" t="str">
        <f>HYPERLINK("http://141.218.60.56/~jnz1568/getInfo.php?workbook=14_06.xlsx&amp;sheet=U0&amp;row=265&amp;col=7&amp;number=0.00248&amp;sourceID=14","0.00248")</f>
        <v>0.00248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HYPERLINK("http://141.218.60.56/~jnz1568/getInfo.php?workbook=14_06.xlsx&amp;sheet=U0&amp;row=266&amp;col=6&amp;number=3.2&amp;sourceID=14","3.2")</f>
        <v>3.2</v>
      </c>
      <c r="G266" s="4" t="str">
        <f>HYPERLINK("http://141.218.60.56/~jnz1568/getInfo.php?workbook=14_06.xlsx&amp;sheet=U0&amp;row=266&amp;col=7&amp;number=0.00248&amp;sourceID=14","0.00248")</f>
        <v>0.00248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HYPERLINK("http://141.218.60.56/~jnz1568/getInfo.php?workbook=14_06.xlsx&amp;sheet=U0&amp;row=267&amp;col=6&amp;number=3.3&amp;sourceID=14","3.3")</f>
        <v>3.3</v>
      </c>
      <c r="G267" s="4" t="str">
        <f>HYPERLINK("http://141.218.60.56/~jnz1568/getInfo.php?workbook=14_06.xlsx&amp;sheet=U0&amp;row=267&amp;col=7&amp;number=0.00248&amp;sourceID=14","0.00248")</f>
        <v>0.00248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HYPERLINK("http://141.218.60.56/~jnz1568/getInfo.php?workbook=14_06.xlsx&amp;sheet=U0&amp;row=268&amp;col=6&amp;number=3.4&amp;sourceID=14","3.4")</f>
        <v>3.4</v>
      </c>
      <c r="G268" s="4" t="str">
        <f>HYPERLINK("http://141.218.60.56/~jnz1568/getInfo.php?workbook=14_06.xlsx&amp;sheet=U0&amp;row=268&amp;col=7&amp;number=0.00248&amp;sourceID=14","0.00248")</f>
        <v>0.00248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HYPERLINK("http://141.218.60.56/~jnz1568/getInfo.php?workbook=14_06.xlsx&amp;sheet=U0&amp;row=269&amp;col=6&amp;number=3.5&amp;sourceID=14","3.5")</f>
        <v>3.5</v>
      </c>
      <c r="G269" s="4" t="str">
        <f>HYPERLINK("http://141.218.60.56/~jnz1568/getInfo.php?workbook=14_06.xlsx&amp;sheet=U0&amp;row=269&amp;col=7&amp;number=0.00248&amp;sourceID=14","0.00248")</f>
        <v>0.00248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HYPERLINK("http://141.218.60.56/~jnz1568/getInfo.php?workbook=14_06.xlsx&amp;sheet=U0&amp;row=270&amp;col=6&amp;number=3.6&amp;sourceID=14","3.6")</f>
        <v>3.6</v>
      </c>
      <c r="G270" s="4" t="str">
        <f>HYPERLINK("http://141.218.60.56/~jnz1568/getInfo.php?workbook=14_06.xlsx&amp;sheet=U0&amp;row=270&amp;col=7&amp;number=0.00248&amp;sourceID=14","0.00248")</f>
        <v>0.00248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HYPERLINK("http://141.218.60.56/~jnz1568/getInfo.php?workbook=14_06.xlsx&amp;sheet=U0&amp;row=271&amp;col=6&amp;number=3.7&amp;sourceID=14","3.7")</f>
        <v>3.7</v>
      </c>
      <c r="G271" s="4" t="str">
        <f>HYPERLINK("http://141.218.60.56/~jnz1568/getInfo.php?workbook=14_06.xlsx&amp;sheet=U0&amp;row=271&amp;col=7&amp;number=0.00248&amp;sourceID=14","0.00248")</f>
        <v>0.00248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HYPERLINK("http://141.218.60.56/~jnz1568/getInfo.php?workbook=14_06.xlsx&amp;sheet=U0&amp;row=272&amp;col=6&amp;number=3.8&amp;sourceID=14","3.8")</f>
        <v>3.8</v>
      </c>
      <c r="G272" s="4" t="str">
        <f>HYPERLINK("http://141.218.60.56/~jnz1568/getInfo.php?workbook=14_06.xlsx&amp;sheet=U0&amp;row=272&amp;col=7&amp;number=0.00248&amp;sourceID=14","0.00248")</f>
        <v>0.00248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HYPERLINK("http://141.218.60.56/~jnz1568/getInfo.php?workbook=14_06.xlsx&amp;sheet=U0&amp;row=273&amp;col=6&amp;number=3.9&amp;sourceID=14","3.9")</f>
        <v>3.9</v>
      </c>
      <c r="G273" s="4" t="str">
        <f>HYPERLINK("http://141.218.60.56/~jnz1568/getInfo.php?workbook=14_06.xlsx&amp;sheet=U0&amp;row=273&amp;col=7&amp;number=0.00248&amp;sourceID=14","0.00248")</f>
        <v>0.00248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HYPERLINK("http://141.218.60.56/~jnz1568/getInfo.php?workbook=14_06.xlsx&amp;sheet=U0&amp;row=274&amp;col=6&amp;number=4&amp;sourceID=14","4")</f>
        <v>4</v>
      </c>
      <c r="G274" s="4" t="str">
        <f>HYPERLINK("http://141.218.60.56/~jnz1568/getInfo.php?workbook=14_06.xlsx&amp;sheet=U0&amp;row=274&amp;col=7&amp;number=0.00248&amp;sourceID=14","0.00248")</f>
        <v>0.00248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HYPERLINK("http://141.218.60.56/~jnz1568/getInfo.php?workbook=14_06.xlsx&amp;sheet=U0&amp;row=275&amp;col=6&amp;number=4.1&amp;sourceID=14","4.1")</f>
        <v>4.1</v>
      </c>
      <c r="G275" s="4" t="str">
        <f>HYPERLINK("http://141.218.60.56/~jnz1568/getInfo.php?workbook=14_06.xlsx&amp;sheet=U0&amp;row=275&amp;col=7&amp;number=0.00248&amp;sourceID=14","0.00248")</f>
        <v>0.00248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HYPERLINK("http://141.218.60.56/~jnz1568/getInfo.php?workbook=14_06.xlsx&amp;sheet=U0&amp;row=276&amp;col=6&amp;number=4.2&amp;sourceID=14","4.2")</f>
        <v>4.2</v>
      </c>
      <c r="G276" s="4" t="str">
        <f>HYPERLINK("http://141.218.60.56/~jnz1568/getInfo.php?workbook=14_06.xlsx&amp;sheet=U0&amp;row=276&amp;col=7&amp;number=0.00247&amp;sourceID=14","0.00247")</f>
        <v>0.00247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HYPERLINK("http://141.218.60.56/~jnz1568/getInfo.php?workbook=14_06.xlsx&amp;sheet=U0&amp;row=277&amp;col=6&amp;number=4.3&amp;sourceID=14","4.3")</f>
        <v>4.3</v>
      </c>
      <c r="G277" s="4" t="str">
        <f>HYPERLINK("http://141.218.60.56/~jnz1568/getInfo.php?workbook=14_06.xlsx&amp;sheet=U0&amp;row=277&amp;col=7&amp;number=0.00247&amp;sourceID=14","0.00247")</f>
        <v>0.00247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HYPERLINK("http://141.218.60.56/~jnz1568/getInfo.php?workbook=14_06.xlsx&amp;sheet=U0&amp;row=278&amp;col=6&amp;number=4.4&amp;sourceID=14","4.4")</f>
        <v>4.4</v>
      </c>
      <c r="G278" s="4" t="str">
        <f>HYPERLINK("http://141.218.60.56/~jnz1568/getInfo.php?workbook=14_06.xlsx&amp;sheet=U0&amp;row=278&amp;col=7&amp;number=0.00247&amp;sourceID=14","0.00247")</f>
        <v>0.00247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HYPERLINK("http://141.218.60.56/~jnz1568/getInfo.php?workbook=14_06.xlsx&amp;sheet=U0&amp;row=279&amp;col=6&amp;number=4.5&amp;sourceID=14","4.5")</f>
        <v>4.5</v>
      </c>
      <c r="G279" s="4" t="str">
        <f>HYPERLINK("http://141.218.60.56/~jnz1568/getInfo.php?workbook=14_06.xlsx&amp;sheet=U0&amp;row=279&amp;col=7&amp;number=0.00246&amp;sourceID=14","0.00246")</f>
        <v>0.00246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HYPERLINK("http://141.218.60.56/~jnz1568/getInfo.php?workbook=14_06.xlsx&amp;sheet=U0&amp;row=280&amp;col=6&amp;number=4.6&amp;sourceID=14","4.6")</f>
        <v>4.6</v>
      </c>
      <c r="G280" s="4" t="str">
        <f>HYPERLINK("http://141.218.60.56/~jnz1568/getInfo.php?workbook=14_06.xlsx&amp;sheet=U0&amp;row=280&amp;col=7&amp;number=0.00246&amp;sourceID=14","0.00246")</f>
        <v>0.00246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HYPERLINK("http://141.218.60.56/~jnz1568/getInfo.php?workbook=14_06.xlsx&amp;sheet=U0&amp;row=281&amp;col=6&amp;number=4.7&amp;sourceID=14","4.7")</f>
        <v>4.7</v>
      </c>
      <c r="G281" s="4" t="str">
        <f>HYPERLINK("http://141.218.60.56/~jnz1568/getInfo.php?workbook=14_06.xlsx&amp;sheet=U0&amp;row=281&amp;col=7&amp;number=0.00245&amp;sourceID=14","0.00245")</f>
        <v>0.00245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HYPERLINK("http://141.218.60.56/~jnz1568/getInfo.php?workbook=14_06.xlsx&amp;sheet=U0&amp;row=282&amp;col=6&amp;number=4.8&amp;sourceID=14","4.8")</f>
        <v>4.8</v>
      </c>
      <c r="G282" s="4" t="str">
        <f>HYPERLINK("http://141.218.60.56/~jnz1568/getInfo.php?workbook=14_06.xlsx&amp;sheet=U0&amp;row=282&amp;col=7&amp;number=0.00245&amp;sourceID=14","0.00245")</f>
        <v>0.00245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HYPERLINK("http://141.218.60.56/~jnz1568/getInfo.php?workbook=14_06.xlsx&amp;sheet=U0&amp;row=283&amp;col=6&amp;number=4.9&amp;sourceID=14","4.9")</f>
        <v>4.9</v>
      </c>
      <c r="G283" s="4" t="str">
        <f>HYPERLINK("http://141.218.60.56/~jnz1568/getInfo.php?workbook=14_06.xlsx&amp;sheet=U0&amp;row=283&amp;col=7&amp;number=0.00244&amp;sourceID=14","0.00244")</f>
        <v>0.00244</v>
      </c>
    </row>
    <row r="284" spans="1:7">
      <c r="A284" s="3">
        <v>14</v>
      </c>
      <c r="B284" s="3">
        <v>6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HYPERLINK("http://141.218.60.56/~jnz1568/getInfo.php?workbook=14_06.xlsx&amp;sheet=U0&amp;row=284&amp;col=6&amp;number=3&amp;sourceID=14","3")</f>
        <v>3</v>
      </c>
      <c r="G284" s="4" t="str">
        <f>HYPERLINK("http://141.218.60.56/~jnz1568/getInfo.php?workbook=14_06.xlsx&amp;sheet=U0&amp;row=284&amp;col=7&amp;number=0.00107&amp;sourceID=14","0.00107")</f>
        <v>0.00107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HYPERLINK("http://141.218.60.56/~jnz1568/getInfo.php?workbook=14_06.xlsx&amp;sheet=U0&amp;row=285&amp;col=6&amp;number=3.1&amp;sourceID=14","3.1")</f>
        <v>3.1</v>
      </c>
      <c r="G285" s="4" t="str">
        <f>HYPERLINK("http://141.218.60.56/~jnz1568/getInfo.php?workbook=14_06.xlsx&amp;sheet=U0&amp;row=285&amp;col=7&amp;number=0.00107&amp;sourceID=14","0.00107")</f>
        <v>0.00107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HYPERLINK("http://141.218.60.56/~jnz1568/getInfo.php?workbook=14_06.xlsx&amp;sheet=U0&amp;row=286&amp;col=6&amp;number=3.2&amp;sourceID=14","3.2")</f>
        <v>3.2</v>
      </c>
      <c r="G286" s="4" t="str">
        <f>HYPERLINK("http://141.218.60.56/~jnz1568/getInfo.php?workbook=14_06.xlsx&amp;sheet=U0&amp;row=286&amp;col=7&amp;number=0.00107&amp;sourceID=14","0.00107")</f>
        <v>0.00107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HYPERLINK("http://141.218.60.56/~jnz1568/getInfo.php?workbook=14_06.xlsx&amp;sheet=U0&amp;row=287&amp;col=6&amp;number=3.3&amp;sourceID=14","3.3")</f>
        <v>3.3</v>
      </c>
      <c r="G287" s="4" t="str">
        <f>HYPERLINK("http://141.218.60.56/~jnz1568/getInfo.php?workbook=14_06.xlsx&amp;sheet=U0&amp;row=287&amp;col=7&amp;number=0.00107&amp;sourceID=14","0.00107")</f>
        <v>0.00107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HYPERLINK("http://141.218.60.56/~jnz1568/getInfo.php?workbook=14_06.xlsx&amp;sheet=U0&amp;row=288&amp;col=6&amp;number=3.4&amp;sourceID=14","3.4")</f>
        <v>3.4</v>
      </c>
      <c r="G288" s="4" t="str">
        <f>HYPERLINK("http://141.218.60.56/~jnz1568/getInfo.php?workbook=14_06.xlsx&amp;sheet=U0&amp;row=288&amp;col=7&amp;number=0.00107&amp;sourceID=14","0.00107")</f>
        <v>0.00107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HYPERLINK("http://141.218.60.56/~jnz1568/getInfo.php?workbook=14_06.xlsx&amp;sheet=U0&amp;row=289&amp;col=6&amp;number=3.5&amp;sourceID=14","3.5")</f>
        <v>3.5</v>
      </c>
      <c r="G289" s="4" t="str">
        <f>HYPERLINK("http://141.218.60.56/~jnz1568/getInfo.php?workbook=14_06.xlsx&amp;sheet=U0&amp;row=289&amp;col=7&amp;number=0.00107&amp;sourceID=14","0.00107")</f>
        <v>0.00107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HYPERLINK("http://141.218.60.56/~jnz1568/getInfo.php?workbook=14_06.xlsx&amp;sheet=U0&amp;row=290&amp;col=6&amp;number=3.6&amp;sourceID=14","3.6")</f>
        <v>3.6</v>
      </c>
      <c r="G290" s="4" t="str">
        <f>HYPERLINK("http://141.218.60.56/~jnz1568/getInfo.php?workbook=14_06.xlsx&amp;sheet=U0&amp;row=290&amp;col=7&amp;number=0.00107&amp;sourceID=14","0.00107")</f>
        <v>0.00107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HYPERLINK("http://141.218.60.56/~jnz1568/getInfo.php?workbook=14_06.xlsx&amp;sheet=U0&amp;row=291&amp;col=6&amp;number=3.7&amp;sourceID=14","3.7")</f>
        <v>3.7</v>
      </c>
      <c r="G291" s="4" t="str">
        <f>HYPERLINK("http://141.218.60.56/~jnz1568/getInfo.php?workbook=14_06.xlsx&amp;sheet=U0&amp;row=291&amp;col=7&amp;number=0.00107&amp;sourceID=14","0.00107")</f>
        <v>0.00107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HYPERLINK("http://141.218.60.56/~jnz1568/getInfo.php?workbook=14_06.xlsx&amp;sheet=U0&amp;row=292&amp;col=6&amp;number=3.8&amp;sourceID=14","3.8")</f>
        <v>3.8</v>
      </c>
      <c r="G292" s="4" t="str">
        <f>HYPERLINK("http://141.218.60.56/~jnz1568/getInfo.php?workbook=14_06.xlsx&amp;sheet=U0&amp;row=292&amp;col=7&amp;number=0.00107&amp;sourceID=14","0.00107")</f>
        <v>0.00107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HYPERLINK("http://141.218.60.56/~jnz1568/getInfo.php?workbook=14_06.xlsx&amp;sheet=U0&amp;row=293&amp;col=6&amp;number=3.9&amp;sourceID=14","3.9")</f>
        <v>3.9</v>
      </c>
      <c r="G293" s="4" t="str">
        <f>HYPERLINK("http://141.218.60.56/~jnz1568/getInfo.php?workbook=14_06.xlsx&amp;sheet=U0&amp;row=293&amp;col=7&amp;number=0.00107&amp;sourceID=14","0.00107")</f>
        <v>0.00107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HYPERLINK("http://141.218.60.56/~jnz1568/getInfo.php?workbook=14_06.xlsx&amp;sheet=U0&amp;row=294&amp;col=6&amp;number=4&amp;sourceID=14","4")</f>
        <v>4</v>
      </c>
      <c r="G294" s="4" t="str">
        <f>HYPERLINK("http://141.218.60.56/~jnz1568/getInfo.php?workbook=14_06.xlsx&amp;sheet=U0&amp;row=294&amp;col=7&amp;number=0.00107&amp;sourceID=14","0.00107")</f>
        <v>0.00107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HYPERLINK("http://141.218.60.56/~jnz1568/getInfo.php?workbook=14_06.xlsx&amp;sheet=U0&amp;row=295&amp;col=6&amp;number=4.1&amp;sourceID=14","4.1")</f>
        <v>4.1</v>
      </c>
      <c r="G295" s="4" t="str">
        <f>HYPERLINK("http://141.218.60.56/~jnz1568/getInfo.php?workbook=14_06.xlsx&amp;sheet=U0&amp;row=295&amp;col=7&amp;number=0.00107&amp;sourceID=14","0.00107")</f>
        <v>0.00107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HYPERLINK("http://141.218.60.56/~jnz1568/getInfo.php?workbook=14_06.xlsx&amp;sheet=U0&amp;row=296&amp;col=6&amp;number=4.2&amp;sourceID=14","4.2")</f>
        <v>4.2</v>
      </c>
      <c r="G296" s="4" t="str">
        <f>HYPERLINK("http://141.218.60.56/~jnz1568/getInfo.php?workbook=14_06.xlsx&amp;sheet=U0&amp;row=296&amp;col=7&amp;number=0.00108&amp;sourceID=14","0.00108")</f>
        <v>0.00108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HYPERLINK("http://141.218.60.56/~jnz1568/getInfo.php?workbook=14_06.xlsx&amp;sheet=U0&amp;row=297&amp;col=6&amp;number=4.3&amp;sourceID=14","4.3")</f>
        <v>4.3</v>
      </c>
      <c r="G297" s="4" t="str">
        <f>HYPERLINK("http://141.218.60.56/~jnz1568/getInfo.php?workbook=14_06.xlsx&amp;sheet=U0&amp;row=297&amp;col=7&amp;number=0.00108&amp;sourceID=14","0.00108")</f>
        <v>0.00108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HYPERLINK("http://141.218.60.56/~jnz1568/getInfo.php?workbook=14_06.xlsx&amp;sheet=U0&amp;row=298&amp;col=6&amp;number=4.4&amp;sourceID=14","4.4")</f>
        <v>4.4</v>
      </c>
      <c r="G298" s="4" t="str">
        <f>HYPERLINK("http://141.218.60.56/~jnz1568/getInfo.php?workbook=14_06.xlsx&amp;sheet=U0&amp;row=298&amp;col=7&amp;number=0.00108&amp;sourceID=14","0.00108")</f>
        <v>0.00108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HYPERLINK("http://141.218.60.56/~jnz1568/getInfo.php?workbook=14_06.xlsx&amp;sheet=U0&amp;row=299&amp;col=6&amp;number=4.5&amp;sourceID=14","4.5")</f>
        <v>4.5</v>
      </c>
      <c r="G299" s="4" t="str">
        <f>HYPERLINK("http://141.218.60.56/~jnz1568/getInfo.php?workbook=14_06.xlsx&amp;sheet=U0&amp;row=299&amp;col=7&amp;number=0.00108&amp;sourceID=14","0.00108")</f>
        <v>0.00108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HYPERLINK("http://141.218.60.56/~jnz1568/getInfo.php?workbook=14_06.xlsx&amp;sheet=U0&amp;row=300&amp;col=6&amp;number=4.6&amp;sourceID=14","4.6")</f>
        <v>4.6</v>
      </c>
      <c r="G300" s="4" t="str">
        <f>HYPERLINK("http://141.218.60.56/~jnz1568/getInfo.php?workbook=14_06.xlsx&amp;sheet=U0&amp;row=300&amp;col=7&amp;number=0.00108&amp;sourceID=14","0.00108")</f>
        <v>0.00108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HYPERLINK("http://141.218.60.56/~jnz1568/getInfo.php?workbook=14_06.xlsx&amp;sheet=U0&amp;row=301&amp;col=6&amp;number=4.7&amp;sourceID=14","4.7")</f>
        <v>4.7</v>
      </c>
      <c r="G301" s="4" t="str">
        <f>HYPERLINK("http://141.218.60.56/~jnz1568/getInfo.php?workbook=14_06.xlsx&amp;sheet=U0&amp;row=301&amp;col=7&amp;number=0.00108&amp;sourceID=14","0.00108")</f>
        <v>0.00108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HYPERLINK("http://141.218.60.56/~jnz1568/getInfo.php?workbook=14_06.xlsx&amp;sheet=U0&amp;row=302&amp;col=6&amp;number=4.8&amp;sourceID=14","4.8")</f>
        <v>4.8</v>
      </c>
      <c r="G302" s="4" t="str">
        <f>HYPERLINK("http://141.218.60.56/~jnz1568/getInfo.php?workbook=14_06.xlsx&amp;sheet=U0&amp;row=302&amp;col=7&amp;number=0.00108&amp;sourceID=14","0.00108")</f>
        <v>0.00108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HYPERLINK("http://141.218.60.56/~jnz1568/getInfo.php?workbook=14_06.xlsx&amp;sheet=U0&amp;row=303&amp;col=6&amp;number=4.9&amp;sourceID=14","4.9")</f>
        <v>4.9</v>
      </c>
      <c r="G303" s="4" t="str">
        <f>HYPERLINK("http://141.218.60.56/~jnz1568/getInfo.php?workbook=14_06.xlsx&amp;sheet=U0&amp;row=303&amp;col=7&amp;number=0.00108&amp;sourceID=14","0.00108")</f>
        <v>0.00108</v>
      </c>
    </row>
    <row r="304" spans="1:7">
      <c r="A304" s="3">
        <v>14</v>
      </c>
      <c r="B304" s="3">
        <v>6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HYPERLINK("http://141.218.60.56/~jnz1568/getInfo.php?workbook=14_06.xlsx&amp;sheet=U0&amp;row=304&amp;col=6&amp;number=3&amp;sourceID=14","3")</f>
        <v>3</v>
      </c>
      <c r="G304" s="4" t="str">
        <f>HYPERLINK("http://141.218.60.56/~jnz1568/getInfo.php?workbook=14_06.xlsx&amp;sheet=U0&amp;row=304&amp;col=7&amp;number=0.000102&amp;sourceID=14","0.000102")</f>
        <v>0.000102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HYPERLINK("http://141.218.60.56/~jnz1568/getInfo.php?workbook=14_06.xlsx&amp;sheet=U0&amp;row=305&amp;col=6&amp;number=3.1&amp;sourceID=14","3.1")</f>
        <v>3.1</v>
      </c>
      <c r="G305" s="4" t="str">
        <f>HYPERLINK("http://141.218.60.56/~jnz1568/getInfo.php?workbook=14_06.xlsx&amp;sheet=U0&amp;row=305&amp;col=7&amp;number=0.000102&amp;sourceID=14","0.000102")</f>
        <v>0.000102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HYPERLINK("http://141.218.60.56/~jnz1568/getInfo.php?workbook=14_06.xlsx&amp;sheet=U0&amp;row=306&amp;col=6&amp;number=3.2&amp;sourceID=14","3.2")</f>
        <v>3.2</v>
      </c>
      <c r="G306" s="4" t="str">
        <f>HYPERLINK("http://141.218.60.56/~jnz1568/getInfo.php?workbook=14_06.xlsx&amp;sheet=U0&amp;row=306&amp;col=7&amp;number=0.000102&amp;sourceID=14","0.000102")</f>
        <v>0.000102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HYPERLINK("http://141.218.60.56/~jnz1568/getInfo.php?workbook=14_06.xlsx&amp;sheet=U0&amp;row=307&amp;col=6&amp;number=3.3&amp;sourceID=14","3.3")</f>
        <v>3.3</v>
      </c>
      <c r="G307" s="4" t="str">
        <f>HYPERLINK("http://141.218.60.56/~jnz1568/getInfo.php?workbook=14_06.xlsx&amp;sheet=U0&amp;row=307&amp;col=7&amp;number=0.000102&amp;sourceID=14","0.000102")</f>
        <v>0.000102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HYPERLINK("http://141.218.60.56/~jnz1568/getInfo.php?workbook=14_06.xlsx&amp;sheet=U0&amp;row=308&amp;col=6&amp;number=3.4&amp;sourceID=14","3.4")</f>
        <v>3.4</v>
      </c>
      <c r="G308" s="4" t="str">
        <f>HYPERLINK("http://141.218.60.56/~jnz1568/getInfo.php?workbook=14_06.xlsx&amp;sheet=U0&amp;row=308&amp;col=7&amp;number=0.000102&amp;sourceID=14","0.000102")</f>
        <v>0.000102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HYPERLINK("http://141.218.60.56/~jnz1568/getInfo.php?workbook=14_06.xlsx&amp;sheet=U0&amp;row=309&amp;col=6&amp;number=3.5&amp;sourceID=14","3.5")</f>
        <v>3.5</v>
      </c>
      <c r="G309" s="4" t="str">
        <f>HYPERLINK("http://141.218.60.56/~jnz1568/getInfo.php?workbook=14_06.xlsx&amp;sheet=U0&amp;row=309&amp;col=7&amp;number=0.000102&amp;sourceID=14","0.000102")</f>
        <v>0.000102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HYPERLINK("http://141.218.60.56/~jnz1568/getInfo.php?workbook=14_06.xlsx&amp;sheet=U0&amp;row=310&amp;col=6&amp;number=3.6&amp;sourceID=14","3.6")</f>
        <v>3.6</v>
      </c>
      <c r="G310" s="4" t="str">
        <f>HYPERLINK("http://141.218.60.56/~jnz1568/getInfo.php?workbook=14_06.xlsx&amp;sheet=U0&amp;row=310&amp;col=7&amp;number=0.000101&amp;sourceID=14","0.000101")</f>
        <v>0.000101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HYPERLINK("http://141.218.60.56/~jnz1568/getInfo.php?workbook=14_06.xlsx&amp;sheet=U0&amp;row=311&amp;col=6&amp;number=3.7&amp;sourceID=14","3.7")</f>
        <v>3.7</v>
      </c>
      <c r="G311" s="4" t="str">
        <f>HYPERLINK("http://141.218.60.56/~jnz1568/getInfo.php?workbook=14_06.xlsx&amp;sheet=U0&amp;row=311&amp;col=7&amp;number=0.000101&amp;sourceID=14","0.000101")</f>
        <v>0.000101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HYPERLINK("http://141.218.60.56/~jnz1568/getInfo.php?workbook=14_06.xlsx&amp;sheet=U0&amp;row=312&amp;col=6&amp;number=3.8&amp;sourceID=14","3.8")</f>
        <v>3.8</v>
      </c>
      <c r="G312" s="4" t="str">
        <f>HYPERLINK("http://141.218.60.56/~jnz1568/getInfo.php?workbook=14_06.xlsx&amp;sheet=U0&amp;row=312&amp;col=7&amp;number=0.000101&amp;sourceID=14","0.000101")</f>
        <v>0.000101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HYPERLINK("http://141.218.60.56/~jnz1568/getInfo.php?workbook=14_06.xlsx&amp;sheet=U0&amp;row=313&amp;col=6&amp;number=3.9&amp;sourceID=14","3.9")</f>
        <v>3.9</v>
      </c>
      <c r="G313" s="4" t="str">
        <f>HYPERLINK("http://141.218.60.56/~jnz1568/getInfo.php?workbook=14_06.xlsx&amp;sheet=U0&amp;row=313&amp;col=7&amp;number=0.000101&amp;sourceID=14","0.000101")</f>
        <v>0.000101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HYPERLINK("http://141.218.60.56/~jnz1568/getInfo.php?workbook=14_06.xlsx&amp;sheet=U0&amp;row=314&amp;col=6&amp;number=4&amp;sourceID=14","4")</f>
        <v>4</v>
      </c>
      <c r="G314" s="4" t="str">
        <f>HYPERLINK("http://141.218.60.56/~jnz1568/getInfo.php?workbook=14_06.xlsx&amp;sheet=U0&amp;row=314&amp;col=7&amp;number=0.000101&amp;sourceID=14","0.000101")</f>
        <v>0.000101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HYPERLINK("http://141.218.60.56/~jnz1568/getInfo.php?workbook=14_06.xlsx&amp;sheet=U0&amp;row=315&amp;col=6&amp;number=4.1&amp;sourceID=14","4.1")</f>
        <v>4.1</v>
      </c>
      <c r="G315" s="4" t="str">
        <f>HYPERLINK("http://141.218.60.56/~jnz1568/getInfo.php?workbook=14_06.xlsx&amp;sheet=U0&amp;row=315&amp;col=7&amp;number=0.000101&amp;sourceID=14","0.000101")</f>
        <v>0.000101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HYPERLINK("http://141.218.60.56/~jnz1568/getInfo.php?workbook=14_06.xlsx&amp;sheet=U0&amp;row=316&amp;col=6&amp;number=4.2&amp;sourceID=14","4.2")</f>
        <v>4.2</v>
      </c>
      <c r="G316" s="4" t="str">
        <f>HYPERLINK("http://141.218.60.56/~jnz1568/getInfo.php?workbook=14_06.xlsx&amp;sheet=U0&amp;row=316&amp;col=7&amp;number=0.000101&amp;sourceID=14","0.000101")</f>
        <v>0.000101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HYPERLINK("http://141.218.60.56/~jnz1568/getInfo.php?workbook=14_06.xlsx&amp;sheet=U0&amp;row=317&amp;col=6&amp;number=4.3&amp;sourceID=14","4.3")</f>
        <v>4.3</v>
      </c>
      <c r="G317" s="4" t="str">
        <f>HYPERLINK("http://141.218.60.56/~jnz1568/getInfo.php?workbook=14_06.xlsx&amp;sheet=U0&amp;row=317&amp;col=7&amp;number=0.000101&amp;sourceID=14","0.000101")</f>
        <v>0.000101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HYPERLINK("http://141.218.60.56/~jnz1568/getInfo.php?workbook=14_06.xlsx&amp;sheet=U0&amp;row=318&amp;col=6&amp;number=4.4&amp;sourceID=14","4.4")</f>
        <v>4.4</v>
      </c>
      <c r="G318" s="4" t="str">
        <f>HYPERLINK("http://141.218.60.56/~jnz1568/getInfo.php?workbook=14_06.xlsx&amp;sheet=U0&amp;row=318&amp;col=7&amp;number=0.000101&amp;sourceID=14","0.000101")</f>
        <v>0.000101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HYPERLINK("http://141.218.60.56/~jnz1568/getInfo.php?workbook=14_06.xlsx&amp;sheet=U0&amp;row=319&amp;col=6&amp;number=4.5&amp;sourceID=14","4.5")</f>
        <v>4.5</v>
      </c>
      <c r="G319" s="4" t="str">
        <f>HYPERLINK("http://141.218.60.56/~jnz1568/getInfo.php?workbook=14_06.xlsx&amp;sheet=U0&amp;row=319&amp;col=7&amp;number=0.000101&amp;sourceID=14","0.000101")</f>
        <v>0.000101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HYPERLINK("http://141.218.60.56/~jnz1568/getInfo.php?workbook=14_06.xlsx&amp;sheet=U0&amp;row=320&amp;col=6&amp;number=4.6&amp;sourceID=14","4.6")</f>
        <v>4.6</v>
      </c>
      <c r="G320" s="4" t="str">
        <f>HYPERLINK("http://141.218.60.56/~jnz1568/getInfo.php?workbook=14_06.xlsx&amp;sheet=U0&amp;row=320&amp;col=7&amp;number=0.000101&amp;sourceID=14","0.000101")</f>
        <v>0.000101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HYPERLINK("http://141.218.60.56/~jnz1568/getInfo.php?workbook=14_06.xlsx&amp;sheet=U0&amp;row=321&amp;col=6&amp;number=4.7&amp;sourceID=14","4.7")</f>
        <v>4.7</v>
      </c>
      <c r="G321" s="4" t="str">
        <f>HYPERLINK("http://141.218.60.56/~jnz1568/getInfo.php?workbook=14_06.xlsx&amp;sheet=U0&amp;row=321&amp;col=7&amp;number=0.0001&amp;sourceID=14","0.0001")</f>
        <v>0.0001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HYPERLINK("http://141.218.60.56/~jnz1568/getInfo.php?workbook=14_06.xlsx&amp;sheet=U0&amp;row=322&amp;col=6&amp;number=4.8&amp;sourceID=14","4.8")</f>
        <v>4.8</v>
      </c>
      <c r="G322" s="4" t="str">
        <f>HYPERLINK("http://141.218.60.56/~jnz1568/getInfo.php?workbook=14_06.xlsx&amp;sheet=U0&amp;row=322&amp;col=7&amp;number=0.0001&amp;sourceID=14","0.0001")</f>
        <v>0.0001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HYPERLINK("http://141.218.60.56/~jnz1568/getInfo.php?workbook=14_06.xlsx&amp;sheet=U0&amp;row=323&amp;col=6&amp;number=4.9&amp;sourceID=14","4.9")</f>
        <v>4.9</v>
      </c>
      <c r="G323" s="4" t="str">
        <f>HYPERLINK("http://141.218.60.56/~jnz1568/getInfo.php?workbook=14_06.xlsx&amp;sheet=U0&amp;row=323&amp;col=7&amp;number=9.95e-05&amp;sourceID=14","9.95e-05")</f>
        <v>9.95e-05</v>
      </c>
    </row>
    <row r="324" spans="1:7">
      <c r="A324" s="3">
        <v>14</v>
      </c>
      <c r="B324" s="3">
        <v>6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HYPERLINK("http://141.218.60.56/~jnz1568/getInfo.php?workbook=14_06.xlsx&amp;sheet=U0&amp;row=324&amp;col=6&amp;number=3&amp;sourceID=14","3")</f>
        <v>3</v>
      </c>
      <c r="G324" s="4" t="str">
        <f>HYPERLINK("http://141.218.60.56/~jnz1568/getInfo.php?workbook=14_06.xlsx&amp;sheet=U0&amp;row=324&amp;col=7&amp;number=0.000378&amp;sourceID=14","0.000378")</f>
        <v>0.000378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HYPERLINK("http://141.218.60.56/~jnz1568/getInfo.php?workbook=14_06.xlsx&amp;sheet=U0&amp;row=325&amp;col=6&amp;number=3.1&amp;sourceID=14","3.1")</f>
        <v>3.1</v>
      </c>
      <c r="G325" s="4" t="str">
        <f>HYPERLINK("http://141.218.60.56/~jnz1568/getInfo.php?workbook=14_06.xlsx&amp;sheet=U0&amp;row=325&amp;col=7&amp;number=0.000378&amp;sourceID=14","0.000378")</f>
        <v>0.000378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HYPERLINK("http://141.218.60.56/~jnz1568/getInfo.php?workbook=14_06.xlsx&amp;sheet=U0&amp;row=326&amp;col=6&amp;number=3.2&amp;sourceID=14","3.2")</f>
        <v>3.2</v>
      </c>
      <c r="G326" s="4" t="str">
        <f>HYPERLINK("http://141.218.60.56/~jnz1568/getInfo.php?workbook=14_06.xlsx&amp;sheet=U0&amp;row=326&amp;col=7&amp;number=0.000378&amp;sourceID=14","0.000378")</f>
        <v>0.000378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HYPERLINK("http://141.218.60.56/~jnz1568/getInfo.php?workbook=14_06.xlsx&amp;sheet=U0&amp;row=327&amp;col=6&amp;number=3.3&amp;sourceID=14","3.3")</f>
        <v>3.3</v>
      </c>
      <c r="G327" s="4" t="str">
        <f>HYPERLINK("http://141.218.60.56/~jnz1568/getInfo.php?workbook=14_06.xlsx&amp;sheet=U0&amp;row=327&amp;col=7&amp;number=0.000378&amp;sourceID=14","0.000378")</f>
        <v>0.000378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HYPERLINK("http://141.218.60.56/~jnz1568/getInfo.php?workbook=14_06.xlsx&amp;sheet=U0&amp;row=328&amp;col=6&amp;number=3.4&amp;sourceID=14","3.4")</f>
        <v>3.4</v>
      </c>
      <c r="G328" s="4" t="str">
        <f>HYPERLINK("http://141.218.60.56/~jnz1568/getInfo.php?workbook=14_06.xlsx&amp;sheet=U0&amp;row=328&amp;col=7&amp;number=0.000378&amp;sourceID=14","0.000378")</f>
        <v>0.000378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HYPERLINK("http://141.218.60.56/~jnz1568/getInfo.php?workbook=14_06.xlsx&amp;sheet=U0&amp;row=329&amp;col=6&amp;number=3.5&amp;sourceID=14","3.5")</f>
        <v>3.5</v>
      </c>
      <c r="G329" s="4" t="str">
        <f>HYPERLINK("http://141.218.60.56/~jnz1568/getInfo.php?workbook=14_06.xlsx&amp;sheet=U0&amp;row=329&amp;col=7&amp;number=0.000378&amp;sourceID=14","0.000378")</f>
        <v>0.000378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HYPERLINK("http://141.218.60.56/~jnz1568/getInfo.php?workbook=14_06.xlsx&amp;sheet=U0&amp;row=330&amp;col=6&amp;number=3.6&amp;sourceID=14","3.6")</f>
        <v>3.6</v>
      </c>
      <c r="G330" s="4" t="str">
        <f>HYPERLINK("http://141.218.60.56/~jnz1568/getInfo.php?workbook=14_06.xlsx&amp;sheet=U0&amp;row=330&amp;col=7&amp;number=0.000378&amp;sourceID=14","0.000378")</f>
        <v>0.000378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HYPERLINK("http://141.218.60.56/~jnz1568/getInfo.php?workbook=14_06.xlsx&amp;sheet=U0&amp;row=331&amp;col=6&amp;number=3.7&amp;sourceID=14","3.7")</f>
        <v>3.7</v>
      </c>
      <c r="G331" s="4" t="str">
        <f>HYPERLINK("http://141.218.60.56/~jnz1568/getInfo.php?workbook=14_06.xlsx&amp;sheet=U0&amp;row=331&amp;col=7&amp;number=0.000377&amp;sourceID=14","0.000377")</f>
        <v>0.000377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HYPERLINK("http://141.218.60.56/~jnz1568/getInfo.php?workbook=14_06.xlsx&amp;sheet=U0&amp;row=332&amp;col=6&amp;number=3.8&amp;sourceID=14","3.8")</f>
        <v>3.8</v>
      </c>
      <c r="G332" s="4" t="str">
        <f>HYPERLINK("http://141.218.60.56/~jnz1568/getInfo.php?workbook=14_06.xlsx&amp;sheet=U0&amp;row=332&amp;col=7&amp;number=0.000377&amp;sourceID=14","0.000377")</f>
        <v>0.000377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HYPERLINK("http://141.218.60.56/~jnz1568/getInfo.php?workbook=14_06.xlsx&amp;sheet=U0&amp;row=333&amp;col=6&amp;number=3.9&amp;sourceID=14","3.9")</f>
        <v>3.9</v>
      </c>
      <c r="G333" s="4" t="str">
        <f>HYPERLINK("http://141.218.60.56/~jnz1568/getInfo.php?workbook=14_06.xlsx&amp;sheet=U0&amp;row=333&amp;col=7&amp;number=0.000377&amp;sourceID=14","0.000377")</f>
        <v>0.000377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HYPERLINK("http://141.218.60.56/~jnz1568/getInfo.php?workbook=14_06.xlsx&amp;sheet=U0&amp;row=334&amp;col=6&amp;number=4&amp;sourceID=14","4")</f>
        <v>4</v>
      </c>
      <c r="G334" s="4" t="str">
        <f>HYPERLINK("http://141.218.60.56/~jnz1568/getInfo.php?workbook=14_06.xlsx&amp;sheet=U0&amp;row=334&amp;col=7&amp;number=0.000377&amp;sourceID=14","0.000377")</f>
        <v>0.000377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HYPERLINK("http://141.218.60.56/~jnz1568/getInfo.php?workbook=14_06.xlsx&amp;sheet=U0&amp;row=335&amp;col=6&amp;number=4.1&amp;sourceID=14","4.1")</f>
        <v>4.1</v>
      </c>
      <c r="G335" s="4" t="str">
        <f>HYPERLINK("http://141.218.60.56/~jnz1568/getInfo.php?workbook=14_06.xlsx&amp;sheet=U0&amp;row=335&amp;col=7&amp;number=0.000377&amp;sourceID=14","0.000377")</f>
        <v>0.000377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HYPERLINK("http://141.218.60.56/~jnz1568/getInfo.php?workbook=14_06.xlsx&amp;sheet=U0&amp;row=336&amp;col=6&amp;number=4.2&amp;sourceID=14","4.2")</f>
        <v>4.2</v>
      </c>
      <c r="G336" s="4" t="str">
        <f>HYPERLINK("http://141.218.60.56/~jnz1568/getInfo.php?workbook=14_06.xlsx&amp;sheet=U0&amp;row=336&amp;col=7&amp;number=0.000377&amp;sourceID=14","0.000377")</f>
        <v>0.000377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HYPERLINK("http://141.218.60.56/~jnz1568/getInfo.php?workbook=14_06.xlsx&amp;sheet=U0&amp;row=337&amp;col=6&amp;number=4.3&amp;sourceID=14","4.3")</f>
        <v>4.3</v>
      </c>
      <c r="G337" s="4" t="str">
        <f>HYPERLINK("http://141.218.60.56/~jnz1568/getInfo.php?workbook=14_06.xlsx&amp;sheet=U0&amp;row=337&amp;col=7&amp;number=0.000377&amp;sourceID=14","0.000377")</f>
        <v>0.000377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HYPERLINK("http://141.218.60.56/~jnz1568/getInfo.php?workbook=14_06.xlsx&amp;sheet=U0&amp;row=338&amp;col=6&amp;number=4.4&amp;sourceID=14","4.4")</f>
        <v>4.4</v>
      </c>
      <c r="G338" s="4" t="str">
        <f>HYPERLINK("http://141.218.60.56/~jnz1568/getInfo.php?workbook=14_06.xlsx&amp;sheet=U0&amp;row=338&amp;col=7&amp;number=0.000377&amp;sourceID=14","0.000377")</f>
        <v>0.000377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HYPERLINK("http://141.218.60.56/~jnz1568/getInfo.php?workbook=14_06.xlsx&amp;sheet=U0&amp;row=339&amp;col=6&amp;number=4.5&amp;sourceID=14","4.5")</f>
        <v>4.5</v>
      </c>
      <c r="G339" s="4" t="str">
        <f>HYPERLINK("http://141.218.60.56/~jnz1568/getInfo.php?workbook=14_06.xlsx&amp;sheet=U0&amp;row=339&amp;col=7&amp;number=0.000376&amp;sourceID=14","0.000376")</f>
        <v>0.000376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HYPERLINK("http://141.218.60.56/~jnz1568/getInfo.php?workbook=14_06.xlsx&amp;sheet=U0&amp;row=340&amp;col=6&amp;number=4.6&amp;sourceID=14","4.6")</f>
        <v>4.6</v>
      </c>
      <c r="G340" s="4" t="str">
        <f>HYPERLINK("http://141.218.60.56/~jnz1568/getInfo.php?workbook=14_06.xlsx&amp;sheet=U0&amp;row=340&amp;col=7&amp;number=0.000376&amp;sourceID=14","0.000376")</f>
        <v>0.000376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HYPERLINK("http://141.218.60.56/~jnz1568/getInfo.php?workbook=14_06.xlsx&amp;sheet=U0&amp;row=341&amp;col=6&amp;number=4.7&amp;sourceID=14","4.7")</f>
        <v>4.7</v>
      </c>
      <c r="G341" s="4" t="str">
        <f>HYPERLINK("http://141.218.60.56/~jnz1568/getInfo.php?workbook=14_06.xlsx&amp;sheet=U0&amp;row=341&amp;col=7&amp;number=0.000376&amp;sourceID=14","0.000376")</f>
        <v>0.000376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HYPERLINK("http://141.218.60.56/~jnz1568/getInfo.php?workbook=14_06.xlsx&amp;sheet=U0&amp;row=342&amp;col=6&amp;number=4.8&amp;sourceID=14","4.8")</f>
        <v>4.8</v>
      </c>
      <c r="G342" s="4" t="str">
        <f>HYPERLINK("http://141.218.60.56/~jnz1568/getInfo.php?workbook=14_06.xlsx&amp;sheet=U0&amp;row=342&amp;col=7&amp;number=0.000375&amp;sourceID=14","0.000375")</f>
        <v>0.000375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HYPERLINK("http://141.218.60.56/~jnz1568/getInfo.php?workbook=14_06.xlsx&amp;sheet=U0&amp;row=343&amp;col=6&amp;number=4.9&amp;sourceID=14","4.9")</f>
        <v>4.9</v>
      </c>
      <c r="G343" s="4" t="str">
        <f>HYPERLINK("http://141.218.60.56/~jnz1568/getInfo.php?workbook=14_06.xlsx&amp;sheet=U0&amp;row=343&amp;col=7&amp;number=0.000374&amp;sourceID=14","0.000374")</f>
        <v>0.000374</v>
      </c>
    </row>
    <row r="344" spans="1:7">
      <c r="A344" s="3">
        <v>14</v>
      </c>
      <c r="B344" s="3">
        <v>6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HYPERLINK("http://141.218.60.56/~jnz1568/getInfo.php?workbook=14_06.xlsx&amp;sheet=U0&amp;row=344&amp;col=6&amp;number=3&amp;sourceID=14","3")</f>
        <v>3</v>
      </c>
      <c r="G344" s="4" t="str">
        <f>HYPERLINK("http://141.218.60.56/~jnz1568/getInfo.php?workbook=14_06.xlsx&amp;sheet=U0&amp;row=344&amp;col=7&amp;number=0.000371&amp;sourceID=14","0.000371")</f>
        <v>0.000371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HYPERLINK("http://141.218.60.56/~jnz1568/getInfo.php?workbook=14_06.xlsx&amp;sheet=U0&amp;row=345&amp;col=6&amp;number=3.1&amp;sourceID=14","3.1")</f>
        <v>3.1</v>
      </c>
      <c r="G345" s="4" t="str">
        <f>HYPERLINK("http://141.218.60.56/~jnz1568/getInfo.php?workbook=14_06.xlsx&amp;sheet=U0&amp;row=345&amp;col=7&amp;number=0.000371&amp;sourceID=14","0.000371")</f>
        <v>0.000371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HYPERLINK("http://141.218.60.56/~jnz1568/getInfo.php?workbook=14_06.xlsx&amp;sheet=U0&amp;row=346&amp;col=6&amp;number=3.2&amp;sourceID=14","3.2")</f>
        <v>3.2</v>
      </c>
      <c r="G346" s="4" t="str">
        <f>HYPERLINK("http://141.218.60.56/~jnz1568/getInfo.php?workbook=14_06.xlsx&amp;sheet=U0&amp;row=346&amp;col=7&amp;number=0.000371&amp;sourceID=14","0.000371")</f>
        <v>0.000371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HYPERLINK("http://141.218.60.56/~jnz1568/getInfo.php?workbook=14_06.xlsx&amp;sheet=U0&amp;row=347&amp;col=6&amp;number=3.3&amp;sourceID=14","3.3")</f>
        <v>3.3</v>
      </c>
      <c r="G347" s="4" t="str">
        <f>HYPERLINK("http://141.218.60.56/~jnz1568/getInfo.php?workbook=14_06.xlsx&amp;sheet=U0&amp;row=347&amp;col=7&amp;number=0.000371&amp;sourceID=14","0.000371")</f>
        <v>0.000371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HYPERLINK("http://141.218.60.56/~jnz1568/getInfo.php?workbook=14_06.xlsx&amp;sheet=U0&amp;row=348&amp;col=6&amp;number=3.4&amp;sourceID=14","3.4")</f>
        <v>3.4</v>
      </c>
      <c r="G348" s="4" t="str">
        <f>HYPERLINK("http://141.218.60.56/~jnz1568/getInfo.php?workbook=14_06.xlsx&amp;sheet=U0&amp;row=348&amp;col=7&amp;number=0.000371&amp;sourceID=14","0.000371")</f>
        <v>0.000371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HYPERLINK("http://141.218.60.56/~jnz1568/getInfo.php?workbook=14_06.xlsx&amp;sheet=U0&amp;row=349&amp;col=6&amp;number=3.5&amp;sourceID=14","3.5")</f>
        <v>3.5</v>
      </c>
      <c r="G349" s="4" t="str">
        <f>HYPERLINK("http://141.218.60.56/~jnz1568/getInfo.php?workbook=14_06.xlsx&amp;sheet=U0&amp;row=349&amp;col=7&amp;number=0.000371&amp;sourceID=14","0.000371")</f>
        <v>0.000371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HYPERLINK("http://141.218.60.56/~jnz1568/getInfo.php?workbook=14_06.xlsx&amp;sheet=U0&amp;row=350&amp;col=6&amp;number=3.6&amp;sourceID=14","3.6")</f>
        <v>3.6</v>
      </c>
      <c r="G350" s="4" t="str">
        <f>HYPERLINK("http://141.218.60.56/~jnz1568/getInfo.php?workbook=14_06.xlsx&amp;sheet=U0&amp;row=350&amp;col=7&amp;number=0.000371&amp;sourceID=14","0.000371")</f>
        <v>0.000371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HYPERLINK("http://141.218.60.56/~jnz1568/getInfo.php?workbook=14_06.xlsx&amp;sheet=U0&amp;row=351&amp;col=6&amp;number=3.7&amp;sourceID=14","3.7")</f>
        <v>3.7</v>
      </c>
      <c r="G351" s="4" t="str">
        <f>HYPERLINK("http://141.218.60.56/~jnz1568/getInfo.php?workbook=14_06.xlsx&amp;sheet=U0&amp;row=351&amp;col=7&amp;number=0.000371&amp;sourceID=14","0.000371")</f>
        <v>0.000371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HYPERLINK("http://141.218.60.56/~jnz1568/getInfo.php?workbook=14_06.xlsx&amp;sheet=U0&amp;row=352&amp;col=6&amp;number=3.8&amp;sourceID=14","3.8")</f>
        <v>3.8</v>
      </c>
      <c r="G352" s="4" t="str">
        <f>HYPERLINK("http://141.218.60.56/~jnz1568/getInfo.php?workbook=14_06.xlsx&amp;sheet=U0&amp;row=352&amp;col=7&amp;number=0.000371&amp;sourceID=14","0.000371")</f>
        <v>0.000371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HYPERLINK("http://141.218.60.56/~jnz1568/getInfo.php?workbook=14_06.xlsx&amp;sheet=U0&amp;row=353&amp;col=6&amp;number=3.9&amp;sourceID=14","3.9")</f>
        <v>3.9</v>
      </c>
      <c r="G353" s="4" t="str">
        <f>HYPERLINK("http://141.218.60.56/~jnz1568/getInfo.php?workbook=14_06.xlsx&amp;sheet=U0&amp;row=353&amp;col=7&amp;number=0.00037&amp;sourceID=14","0.00037")</f>
        <v>0.00037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HYPERLINK("http://141.218.60.56/~jnz1568/getInfo.php?workbook=14_06.xlsx&amp;sheet=U0&amp;row=354&amp;col=6&amp;number=4&amp;sourceID=14","4")</f>
        <v>4</v>
      </c>
      <c r="G354" s="4" t="str">
        <f>HYPERLINK("http://141.218.60.56/~jnz1568/getInfo.php?workbook=14_06.xlsx&amp;sheet=U0&amp;row=354&amp;col=7&amp;number=0.00037&amp;sourceID=14","0.00037")</f>
        <v>0.00037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HYPERLINK("http://141.218.60.56/~jnz1568/getInfo.php?workbook=14_06.xlsx&amp;sheet=U0&amp;row=355&amp;col=6&amp;number=4.1&amp;sourceID=14","4.1")</f>
        <v>4.1</v>
      </c>
      <c r="G355" s="4" t="str">
        <f>HYPERLINK("http://141.218.60.56/~jnz1568/getInfo.php?workbook=14_06.xlsx&amp;sheet=U0&amp;row=355&amp;col=7&amp;number=0.00037&amp;sourceID=14","0.00037")</f>
        <v>0.00037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HYPERLINK("http://141.218.60.56/~jnz1568/getInfo.php?workbook=14_06.xlsx&amp;sheet=U0&amp;row=356&amp;col=6&amp;number=4.2&amp;sourceID=14","4.2")</f>
        <v>4.2</v>
      </c>
      <c r="G356" s="4" t="str">
        <f>HYPERLINK("http://141.218.60.56/~jnz1568/getInfo.php?workbook=14_06.xlsx&amp;sheet=U0&amp;row=356&amp;col=7&amp;number=0.00037&amp;sourceID=14","0.00037")</f>
        <v>0.00037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HYPERLINK("http://141.218.60.56/~jnz1568/getInfo.php?workbook=14_06.xlsx&amp;sheet=U0&amp;row=357&amp;col=6&amp;number=4.3&amp;sourceID=14","4.3")</f>
        <v>4.3</v>
      </c>
      <c r="G357" s="4" t="str">
        <f>HYPERLINK("http://141.218.60.56/~jnz1568/getInfo.php?workbook=14_06.xlsx&amp;sheet=U0&amp;row=357&amp;col=7&amp;number=0.000369&amp;sourceID=14","0.000369")</f>
        <v>0.000369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HYPERLINK("http://141.218.60.56/~jnz1568/getInfo.php?workbook=14_06.xlsx&amp;sheet=U0&amp;row=358&amp;col=6&amp;number=4.4&amp;sourceID=14","4.4")</f>
        <v>4.4</v>
      </c>
      <c r="G358" s="4" t="str">
        <f>HYPERLINK("http://141.218.60.56/~jnz1568/getInfo.php?workbook=14_06.xlsx&amp;sheet=U0&amp;row=358&amp;col=7&amp;number=0.000369&amp;sourceID=14","0.000369")</f>
        <v>0.000369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HYPERLINK("http://141.218.60.56/~jnz1568/getInfo.php?workbook=14_06.xlsx&amp;sheet=U0&amp;row=359&amp;col=6&amp;number=4.5&amp;sourceID=14","4.5")</f>
        <v>4.5</v>
      </c>
      <c r="G359" s="4" t="str">
        <f>HYPERLINK("http://141.218.60.56/~jnz1568/getInfo.php?workbook=14_06.xlsx&amp;sheet=U0&amp;row=359&amp;col=7&amp;number=0.000368&amp;sourceID=14","0.000368")</f>
        <v>0.000368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HYPERLINK("http://141.218.60.56/~jnz1568/getInfo.php?workbook=14_06.xlsx&amp;sheet=U0&amp;row=360&amp;col=6&amp;number=4.6&amp;sourceID=14","4.6")</f>
        <v>4.6</v>
      </c>
      <c r="G360" s="4" t="str">
        <f>HYPERLINK("http://141.218.60.56/~jnz1568/getInfo.php?workbook=14_06.xlsx&amp;sheet=U0&amp;row=360&amp;col=7&amp;number=0.000367&amp;sourceID=14","0.000367")</f>
        <v>0.000367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HYPERLINK("http://141.218.60.56/~jnz1568/getInfo.php?workbook=14_06.xlsx&amp;sheet=U0&amp;row=361&amp;col=6&amp;number=4.7&amp;sourceID=14","4.7")</f>
        <v>4.7</v>
      </c>
      <c r="G361" s="4" t="str">
        <f>HYPERLINK("http://141.218.60.56/~jnz1568/getInfo.php?workbook=14_06.xlsx&amp;sheet=U0&amp;row=361&amp;col=7&amp;number=0.000366&amp;sourceID=14","0.000366")</f>
        <v>0.000366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HYPERLINK("http://141.218.60.56/~jnz1568/getInfo.php?workbook=14_06.xlsx&amp;sheet=U0&amp;row=362&amp;col=6&amp;number=4.8&amp;sourceID=14","4.8")</f>
        <v>4.8</v>
      </c>
      <c r="G362" s="4" t="str">
        <f>HYPERLINK("http://141.218.60.56/~jnz1568/getInfo.php?workbook=14_06.xlsx&amp;sheet=U0&amp;row=362&amp;col=7&amp;number=0.000365&amp;sourceID=14","0.000365")</f>
        <v>0.000365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HYPERLINK("http://141.218.60.56/~jnz1568/getInfo.php?workbook=14_06.xlsx&amp;sheet=U0&amp;row=363&amp;col=6&amp;number=4.9&amp;sourceID=14","4.9")</f>
        <v>4.9</v>
      </c>
      <c r="G363" s="4" t="str">
        <f>HYPERLINK("http://141.218.60.56/~jnz1568/getInfo.php?workbook=14_06.xlsx&amp;sheet=U0&amp;row=363&amp;col=7&amp;number=0.000363&amp;sourceID=14","0.000363")</f>
        <v>0.000363</v>
      </c>
    </row>
    <row r="364" spans="1:7">
      <c r="A364" s="3">
        <v>14</v>
      </c>
      <c r="B364" s="3">
        <v>6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HYPERLINK("http://141.218.60.56/~jnz1568/getInfo.php?workbook=14_06.xlsx&amp;sheet=U0&amp;row=364&amp;col=6&amp;number=3&amp;sourceID=14","3")</f>
        <v>3</v>
      </c>
      <c r="G364" s="4" t="str">
        <f>HYPERLINK("http://141.218.60.56/~jnz1568/getInfo.php?workbook=14_06.xlsx&amp;sheet=U0&amp;row=364&amp;col=7&amp;number=6.23e-05&amp;sourceID=14","6.23e-05")</f>
        <v>6.23e-05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HYPERLINK("http://141.218.60.56/~jnz1568/getInfo.php?workbook=14_06.xlsx&amp;sheet=U0&amp;row=365&amp;col=6&amp;number=3.1&amp;sourceID=14","3.1")</f>
        <v>3.1</v>
      </c>
      <c r="G365" s="4" t="str">
        <f>HYPERLINK("http://141.218.60.56/~jnz1568/getInfo.php?workbook=14_06.xlsx&amp;sheet=U0&amp;row=365&amp;col=7&amp;number=6.23e-05&amp;sourceID=14","6.23e-05")</f>
        <v>6.23e-05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HYPERLINK("http://141.218.60.56/~jnz1568/getInfo.php?workbook=14_06.xlsx&amp;sheet=U0&amp;row=366&amp;col=6&amp;number=3.2&amp;sourceID=14","3.2")</f>
        <v>3.2</v>
      </c>
      <c r="G366" s="4" t="str">
        <f>HYPERLINK("http://141.218.60.56/~jnz1568/getInfo.php?workbook=14_06.xlsx&amp;sheet=U0&amp;row=366&amp;col=7&amp;number=6.23e-05&amp;sourceID=14","6.23e-05")</f>
        <v>6.23e-05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HYPERLINK("http://141.218.60.56/~jnz1568/getInfo.php?workbook=14_06.xlsx&amp;sheet=U0&amp;row=367&amp;col=6&amp;number=3.3&amp;sourceID=14","3.3")</f>
        <v>3.3</v>
      </c>
      <c r="G367" s="4" t="str">
        <f>HYPERLINK("http://141.218.60.56/~jnz1568/getInfo.php?workbook=14_06.xlsx&amp;sheet=U0&amp;row=367&amp;col=7&amp;number=6.23e-05&amp;sourceID=14","6.23e-05")</f>
        <v>6.23e-05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HYPERLINK("http://141.218.60.56/~jnz1568/getInfo.php?workbook=14_06.xlsx&amp;sheet=U0&amp;row=368&amp;col=6&amp;number=3.4&amp;sourceID=14","3.4")</f>
        <v>3.4</v>
      </c>
      <c r="G368" s="4" t="str">
        <f>HYPERLINK("http://141.218.60.56/~jnz1568/getInfo.php?workbook=14_06.xlsx&amp;sheet=U0&amp;row=368&amp;col=7&amp;number=6.23e-05&amp;sourceID=14","6.23e-05")</f>
        <v>6.23e-05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HYPERLINK("http://141.218.60.56/~jnz1568/getInfo.php?workbook=14_06.xlsx&amp;sheet=U0&amp;row=369&amp;col=6&amp;number=3.5&amp;sourceID=14","3.5")</f>
        <v>3.5</v>
      </c>
      <c r="G369" s="4" t="str">
        <f>HYPERLINK("http://141.218.60.56/~jnz1568/getInfo.php?workbook=14_06.xlsx&amp;sheet=U0&amp;row=369&amp;col=7&amp;number=6.22e-05&amp;sourceID=14","6.22e-05")</f>
        <v>6.22e-05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HYPERLINK("http://141.218.60.56/~jnz1568/getInfo.php?workbook=14_06.xlsx&amp;sheet=U0&amp;row=370&amp;col=6&amp;number=3.6&amp;sourceID=14","3.6")</f>
        <v>3.6</v>
      </c>
      <c r="G370" s="4" t="str">
        <f>HYPERLINK("http://141.218.60.56/~jnz1568/getInfo.php?workbook=14_06.xlsx&amp;sheet=U0&amp;row=370&amp;col=7&amp;number=6.22e-05&amp;sourceID=14","6.22e-05")</f>
        <v>6.22e-05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HYPERLINK("http://141.218.60.56/~jnz1568/getInfo.php?workbook=14_06.xlsx&amp;sheet=U0&amp;row=371&amp;col=6&amp;number=3.7&amp;sourceID=14","3.7")</f>
        <v>3.7</v>
      </c>
      <c r="G371" s="4" t="str">
        <f>HYPERLINK("http://141.218.60.56/~jnz1568/getInfo.php?workbook=14_06.xlsx&amp;sheet=U0&amp;row=371&amp;col=7&amp;number=6.22e-05&amp;sourceID=14","6.22e-05")</f>
        <v>6.22e-05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HYPERLINK("http://141.218.60.56/~jnz1568/getInfo.php?workbook=14_06.xlsx&amp;sheet=U0&amp;row=372&amp;col=6&amp;number=3.8&amp;sourceID=14","3.8")</f>
        <v>3.8</v>
      </c>
      <c r="G372" s="4" t="str">
        <f>HYPERLINK("http://141.218.60.56/~jnz1568/getInfo.php?workbook=14_06.xlsx&amp;sheet=U0&amp;row=372&amp;col=7&amp;number=6.22e-05&amp;sourceID=14","6.22e-05")</f>
        <v>6.22e-05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HYPERLINK("http://141.218.60.56/~jnz1568/getInfo.php?workbook=14_06.xlsx&amp;sheet=U0&amp;row=373&amp;col=6&amp;number=3.9&amp;sourceID=14","3.9")</f>
        <v>3.9</v>
      </c>
      <c r="G373" s="4" t="str">
        <f>HYPERLINK("http://141.218.60.56/~jnz1568/getInfo.php?workbook=14_06.xlsx&amp;sheet=U0&amp;row=373&amp;col=7&amp;number=6.22e-05&amp;sourceID=14","6.22e-05")</f>
        <v>6.22e-05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HYPERLINK("http://141.218.60.56/~jnz1568/getInfo.php?workbook=14_06.xlsx&amp;sheet=U0&amp;row=374&amp;col=6&amp;number=4&amp;sourceID=14","4")</f>
        <v>4</v>
      </c>
      <c r="G374" s="4" t="str">
        <f>HYPERLINK("http://141.218.60.56/~jnz1568/getInfo.php?workbook=14_06.xlsx&amp;sheet=U0&amp;row=374&amp;col=7&amp;number=6.21e-05&amp;sourceID=14","6.21e-05")</f>
        <v>6.21e-05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HYPERLINK("http://141.218.60.56/~jnz1568/getInfo.php?workbook=14_06.xlsx&amp;sheet=U0&amp;row=375&amp;col=6&amp;number=4.1&amp;sourceID=14","4.1")</f>
        <v>4.1</v>
      </c>
      <c r="G375" s="4" t="str">
        <f>HYPERLINK("http://141.218.60.56/~jnz1568/getInfo.php?workbook=14_06.xlsx&amp;sheet=U0&amp;row=375&amp;col=7&amp;number=6.21e-05&amp;sourceID=14","6.21e-05")</f>
        <v>6.21e-05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HYPERLINK("http://141.218.60.56/~jnz1568/getInfo.php?workbook=14_06.xlsx&amp;sheet=U0&amp;row=376&amp;col=6&amp;number=4.2&amp;sourceID=14","4.2")</f>
        <v>4.2</v>
      </c>
      <c r="G376" s="4" t="str">
        <f>HYPERLINK("http://141.218.60.56/~jnz1568/getInfo.php?workbook=14_06.xlsx&amp;sheet=U0&amp;row=376&amp;col=7&amp;number=6.2e-05&amp;sourceID=14","6.2e-05")</f>
        <v>6.2e-05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HYPERLINK("http://141.218.60.56/~jnz1568/getInfo.php?workbook=14_06.xlsx&amp;sheet=U0&amp;row=377&amp;col=6&amp;number=4.3&amp;sourceID=14","4.3")</f>
        <v>4.3</v>
      </c>
      <c r="G377" s="4" t="str">
        <f>HYPERLINK("http://141.218.60.56/~jnz1568/getInfo.php?workbook=14_06.xlsx&amp;sheet=U0&amp;row=377&amp;col=7&amp;number=6.2e-05&amp;sourceID=14","6.2e-05")</f>
        <v>6.2e-05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HYPERLINK("http://141.218.60.56/~jnz1568/getInfo.php?workbook=14_06.xlsx&amp;sheet=U0&amp;row=378&amp;col=6&amp;number=4.4&amp;sourceID=14","4.4")</f>
        <v>4.4</v>
      </c>
      <c r="G378" s="4" t="str">
        <f>HYPERLINK("http://141.218.60.56/~jnz1568/getInfo.php?workbook=14_06.xlsx&amp;sheet=U0&amp;row=378&amp;col=7&amp;number=6.19e-05&amp;sourceID=14","6.19e-05")</f>
        <v>6.19e-05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HYPERLINK("http://141.218.60.56/~jnz1568/getInfo.php?workbook=14_06.xlsx&amp;sheet=U0&amp;row=379&amp;col=6&amp;number=4.5&amp;sourceID=14","4.5")</f>
        <v>4.5</v>
      </c>
      <c r="G379" s="4" t="str">
        <f>HYPERLINK("http://141.218.60.56/~jnz1568/getInfo.php?workbook=14_06.xlsx&amp;sheet=U0&amp;row=379&amp;col=7&amp;number=6.18e-05&amp;sourceID=14","6.18e-05")</f>
        <v>6.18e-05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HYPERLINK("http://141.218.60.56/~jnz1568/getInfo.php?workbook=14_06.xlsx&amp;sheet=U0&amp;row=380&amp;col=6&amp;number=4.6&amp;sourceID=14","4.6")</f>
        <v>4.6</v>
      </c>
      <c r="G380" s="4" t="str">
        <f>HYPERLINK("http://141.218.60.56/~jnz1568/getInfo.php?workbook=14_06.xlsx&amp;sheet=U0&amp;row=380&amp;col=7&amp;number=6.17e-05&amp;sourceID=14","6.17e-05")</f>
        <v>6.17e-05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HYPERLINK("http://141.218.60.56/~jnz1568/getInfo.php?workbook=14_06.xlsx&amp;sheet=U0&amp;row=381&amp;col=6&amp;number=4.7&amp;sourceID=14","4.7")</f>
        <v>4.7</v>
      </c>
      <c r="G381" s="4" t="str">
        <f>HYPERLINK("http://141.218.60.56/~jnz1568/getInfo.php?workbook=14_06.xlsx&amp;sheet=U0&amp;row=381&amp;col=7&amp;number=6.15e-05&amp;sourceID=14","6.15e-05")</f>
        <v>6.15e-05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HYPERLINK("http://141.218.60.56/~jnz1568/getInfo.php?workbook=14_06.xlsx&amp;sheet=U0&amp;row=382&amp;col=6&amp;number=4.8&amp;sourceID=14","4.8")</f>
        <v>4.8</v>
      </c>
      <c r="G382" s="4" t="str">
        <f>HYPERLINK("http://141.218.60.56/~jnz1568/getInfo.php?workbook=14_06.xlsx&amp;sheet=U0&amp;row=382&amp;col=7&amp;number=6.13e-05&amp;sourceID=14","6.13e-05")</f>
        <v>6.13e-05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HYPERLINK("http://141.218.60.56/~jnz1568/getInfo.php?workbook=14_06.xlsx&amp;sheet=U0&amp;row=383&amp;col=6&amp;number=4.9&amp;sourceID=14","4.9")</f>
        <v>4.9</v>
      </c>
      <c r="G383" s="4" t="str">
        <f>HYPERLINK("http://141.218.60.56/~jnz1568/getInfo.php?workbook=14_06.xlsx&amp;sheet=U0&amp;row=383&amp;col=7&amp;number=6.1e-05&amp;sourceID=14","6.1e-05")</f>
        <v>6.1e-05</v>
      </c>
    </row>
    <row r="384" spans="1:7">
      <c r="A384" s="3">
        <v>14</v>
      </c>
      <c r="B384" s="3">
        <v>6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HYPERLINK("http://141.218.60.56/~jnz1568/getInfo.php?workbook=14_06.xlsx&amp;sheet=U0&amp;row=384&amp;col=6&amp;number=3&amp;sourceID=14","3")</f>
        <v>3</v>
      </c>
      <c r="G384" s="4" t="str">
        <f>HYPERLINK("http://141.218.60.56/~jnz1568/getInfo.php?workbook=14_06.xlsx&amp;sheet=U0&amp;row=384&amp;col=7&amp;number=0.000981&amp;sourceID=14","0.000981")</f>
        <v>0.000981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HYPERLINK("http://141.218.60.56/~jnz1568/getInfo.php?workbook=14_06.xlsx&amp;sheet=U0&amp;row=385&amp;col=6&amp;number=3.1&amp;sourceID=14","3.1")</f>
        <v>3.1</v>
      </c>
      <c r="G385" s="4" t="str">
        <f>HYPERLINK("http://141.218.60.56/~jnz1568/getInfo.php?workbook=14_06.xlsx&amp;sheet=U0&amp;row=385&amp;col=7&amp;number=0.000981&amp;sourceID=14","0.000981")</f>
        <v>0.000981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HYPERLINK("http://141.218.60.56/~jnz1568/getInfo.php?workbook=14_06.xlsx&amp;sheet=U0&amp;row=386&amp;col=6&amp;number=3.2&amp;sourceID=14","3.2")</f>
        <v>3.2</v>
      </c>
      <c r="G386" s="4" t="str">
        <f>HYPERLINK("http://141.218.60.56/~jnz1568/getInfo.php?workbook=14_06.xlsx&amp;sheet=U0&amp;row=386&amp;col=7&amp;number=0.000981&amp;sourceID=14","0.000981")</f>
        <v>0.000981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HYPERLINK("http://141.218.60.56/~jnz1568/getInfo.php?workbook=14_06.xlsx&amp;sheet=U0&amp;row=387&amp;col=6&amp;number=3.3&amp;sourceID=14","3.3")</f>
        <v>3.3</v>
      </c>
      <c r="G387" s="4" t="str">
        <f>HYPERLINK("http://141.218.60.56/~jnz1568/getInfo.php?workbook=14_06.xlsx&amp;sheet=U0&amp;row=387&amp;col=7&amp;number=0.000981&amp;sourceID=14","0.000981")</f>
        <v>0.000981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HYPERLINK("http://141.218.60.56/~jnz1568/getInfo.php?workbook=14_06.xlsx&amp;sheet=U0&amp;row=388&amp;col=6&amp;number=3.4&amp;sourceID=14","3.4")</f>
        <v>3.4</v>
      </c>
      <c r="G388" s="4" t="str">
        <f>HYPERLINK("http://141.218.60.56/~jnz1568/getInfo.php?workbook=14_06.xlsx&amp;sheet=U0&amp;row=388&amp;col=7&amp;number=0.000981&amp;sourceID=14","0.000981")</f>
        <v>0.000981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HYPERLINK("http://141.218.60.56/~jnz1568/getInfo.php?workbook=14_06.xlsx&amp;sheet=U0&amp;row=389&amp;col=6&amp;number=3.5&amp;sourceID=14","3.5")</f>
        <v>3.5</v>
      </c>
      <c r="G389" s="4" t="str">
        <f>HYPERLINK("http://141.218.60.56/~jnz1568/getInfo.php?workbook=14_06.xlsx&amp;sheet=U0&amp;row=389&amp;col=7&amp;number=0.000981&amp;sourceID=14","0.000981")</f>
        <v>0.000981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HYPERLINK("http://141.218.60.56/~jnz1568/getInfo.php?workbook=14_06.xlsx&amp;sheet=U0&amp;row=390&amp;col=6&amp;number=3.6&amp;sourceID=14","3.6")</f>
        <v>3.6</v>
      </c>
      <c r="G390" s="4" t="str">
        <f>HYPERLINK("http://141.218.60.56/~jnz1568/getInfo.php?workbook=14_06.xlsx&amp;sheet=U0&amp;row=390&amp;col=7&amp;number=0.000981&amp;sourceID=14","0.000981")</f>
        <v>0.000981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HYPERLINK("http://141.218.60.56/~jnz1568/getInfo.php?workbook=14_06.xlsx&amp;sheet=U0&amp;row=391&amp;col=6&amp;number=3.7&amp;sourceID=14","3.7")</f>
        <v>3.7</v>
      </c>
      <c r="G391" s="4" t="str">
        <f>HYPERLINK("http://141.218.60.56/~jnz1568/getInfo.php?workbook=14_06.xlsx&amp;sheet=U0&amp;row=391&amp;col=7&amp;number=0.00098&amp;sourceID=14","0.00098")</f>
        <v>0.00098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HYPERLINK("http://141.218.60.56/~jnz1568/getInfo.php?workbook=14_06.xlsx&amp;sheet=U0&amp;row=392&amp;col=6&amp;number=3.8&amp;sourceID=14","3.8")</f>
        <v>3.8</v>
      </c>
      <c r="G392" s="4" t="str">
        <f>HYPERLINK("http://141.218.60.56/~jnz1568/getInfo.php?workbook=14_06.xlsx&amp;sheet=U0&amp;row=392&amp;col=7&amp;number=0.00098&amp;sourceID=14","0.00098")</f>
        <v>0.00098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HYPERLINK("http://141.218.60.56/~jnz1568/getInfo.php?workbook=14_06.xlsx&amp;sheet=U0&amp;row=393&amp;col=6&amp;number=3.9&amp;sourceID=14","3.9")</f>
        <v>3.9</v>
      </c>
      <c r="G393" s="4" t="str">
        <f>HYPERLINK("http://141.218.60.56/~jnz1568/getInfo.php?workbook=14_06.xlsx&amp;sheet=U0&amp;row=393&amp;col=7&amp;number=0.000979&amp;sourceID=14","0.000979")</f>
        <v>0.000979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HYPERLINK("http://141.218.60.56/~jnz1568/getInfo.php?workbook=14_06.xlsx&amp;sheet=U0&amp;row=394&amp;col=6&amp;number=4&amp;sourceID=14","4")</f>
        <v>4</v>
      </c>
      <c r="G394" s="4" t="str">
        <f>HYPERLINK("http://141.218.60.56/~jnz1568/getInfo.php?workbook=14_06.xlsx&amp;sheet=U0&amp;row=394&amp;col=7&amp;number=0.000979&amp;sourceID=14","0.000979")</f>
        <v>0.000979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HYPERLINK("http://141.218.60.56/~jnz1568/getInfo.php?workbook=14_06.xlsx&amp;sheet=U0&amp;row=395&amp;col=6&amp;number=4.1&amp;sourceID=14","4.1")</f>
        <v>4.1</v>
      </c>
      <c r="G395" s="4" t="str">
        <f>HYPERLINK("http://141.218.60.56/~jnz1568/getInfo.php?workbook=14_06.xlsx&amp;sheet=U0&amp;row=395&amp;col=7&amp;number=0.000978&amp;sourceID=14","0.000978")</f>
        <v>0.000978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HYPERLINK("http://141.218.60.56/~jnz1568/getInfo.php?workbook=14_06.xlsx&amp;sheet=U0&amp;row=396&amp;col=6&amp;number=4.2&amp;sourceID=14","4.2")</f>
        <v>4.2</v>
      </c>
      <c r="G396" s="4" t="str">
        <f>HYPERLINK("http://141.218.60.56/~jnz1568/getInfo.php?workbook=14_06.xlsx&amp;sheet=U0&amp;row=396&amp;col=7&amp;number=0.000977&amp;sourceID=14","0.000977")</f>
        <v>0.000977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HYPERLINK("http://141.218.60.56/~jnz1568/getInfo.php?workbook=14_06.xlsx&amp;sheet=U0&amp;row=397&amp;col=6&amp;number=4.3&amp;sourceID=14","4.3")</f>
        <v>4.3</v>
      </c>
      <c r="G397" s="4" t="str">
        <f>HYPERLINK("http://141.218.60.56/~jnz1568/getInfo.php?workbook=14_06.xlsx&amp;sheet=U0&amp;row=397&amp;col=7&amp;number=0.000976&amp;sourceID=14","0.000976")</f>
        <v>0.000976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HYPERLINK("http://141.218.60.56/~jnz1568/getInfo.php?workbook=14_06.xlsx&amp;sheet=U0&amp;row=398&amp;col=6&amp;number=4.4&amp;sourceID=14","4.4")</f>
        <v>4.4</v>
      </c>
      <c r="G398" s="4" t="str">
        <f>HYPERLINK("http://141.218.60.56/~jnz1568/getInfo.php?workbook=14_06.xlsx&amp;sheet=U0&amp;row=398&amp;col=7&amp;number=0.000974&amp;sourceID=14","0.000974")</f>
        <v>0.000974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HYPERLINK("http://141.218.60.56/~jnz1568/getInfo.php?workbook=14_06.xlsx&amp;sheet=U0&amp;row=399&amp;col=6&amp;number=4.5&amp;sourceID=14","4.5")</f>
        <v>4.5</v>
      </c>
      <c r="G399" s="4" t="str">
        <f>HYPERLINK("http://141.218.60.56/~jnz1568/getInfo.php?workbook=14_06.xlsx&amp;sheet=U0&amp;row=399&amp;col=7&amp;number=0.000972&amp;sourceID=14","0.000972")</f>
        <v>0.000972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HYPERLINK("http://141.218.60.56/~jnz1568/getInfo.php?workbook=14_06.xlsx&amp;sheet=U0&amp;row=400&amp;col=6&amp;number=4.6&amp;sourceID=14","4.6")</f>
        <v>4.6</v>
      </c>
      <c r="G400" s="4" t="str">
        <f>HYPERLINK("http://141.218.60.56/~jnz1568/getInfo.php?workbook=14_06.xlsx&amp;sheet=U0&amp;row=400&amp;col=7&amp;number=0.00097&amp;sourceID=14","0.00097")</f>
        <v>0.00097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HYPERLINK("http://141.218.60.56/~jnz1568/getInfo.php?workbook=14_06.xlsx&amp;sheet=U0&amp;row=401&amp;col=6&amp;number=4.7&amp;sourceID=14","4.7")</f>
        <v>4.7</v>
      </c>
      <c r="G401" s="4" t="str">
        <f>HYPERLINK("http://141.218.60.56/~jnz1568/getInfo.php?workbook=14_06.xlsx&amp;sheet=U0&amp;row=401&amp;col=7&amp;number=0.000967&amp;sourceID=14","0.000967")</f>
        <v>0.000967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HYPERLINK("http://141.218.60.56/~jnz1568/getInfo.php?workbook=14_06.xlsx&amp;sheet=U0&amp;row=402&amp;col=6&amp;number=4.8&amp;sourceID=14","4.8")</f>
        <v>4.8</v>
      </c>
      <c r="G402" s="4" t="str">
        <f>HYPERLINK("http://141.218.60.56/~jnz1568/getInfo.php?workbook=14_06.xlsx&amp;sheet=U0&amp;row=402&amp;col=7&amp;number=0.000963&amp;sourceID=14","0.000963")</f>
        <v>0.000963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HYPERLINK("http://141.218.60.56/~jnz1568/getInfo.php?workbook=14_06.xlsx&amp;sheet=U0&amp;row=403&amp;col=6&amp;number=4.9&amp;sourceID=14","4.9")</f>
        <v>4.9</v>
      </c>
      <c r="G403" s="4" t="str">
        <f>HYPERLINK("http://141.218.60.56/~jnz1568/getInfo.php?workbook=14_06.xlsx&amp;sheet=U0&amp;row=403&amp;col=7&amp;number=0.000958&amp;sourceID=14","0.000958")</f>
        <v>0.000958</v>
      </c>
    </row>
    <row r="404" spans="1:7">
      <c r="A404" s="3">
        <v>14</v>
      </c>
      <c r="B404" s="3">
        <v>6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HYPERLINK("http://141.218.60.56/~jnz1568/getInfo.php?workbook=14_06.xlsx&amp;sheet=U0&amp;row=404&amp;col=6&amp;number=3&amp;sourceID=14","3")</f>
        <v>3</v>
      </c>
      <c r="G404" s="4" t="str">
        <f>HYPERLINK("http://141.218.60.56/~jnz1568/getInfo.php?workbook=14_06.xlsx&amp;sheet=U0&amp;row=404&amp;col=7&amp;number=0.00159&amp;sourceID=14","0.00159")</f>
        <v>0.00159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HYPERLINK("http://141.218.60.56/~jnz1568/getInfo.php?workbook=14_06.xlsx&amp;sheet=U0&amp;row=405&amp;col=6&amp;number=3.1&amp;sourceID=14","3.1")</f>
        <v>3.1</v>
      </c>
      <c r="G405" s="4" t="str">
        <f>HYPERLINK("http://141.218.60.56/~jnz1568/getInfo.php?workbook=14_06.xlsx&amp;sheet=U0&amp;row=405&amp;col=7&amp;number=0.00159&amp;sourceID=14","0.00159")</f>
        <v>0.00159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HYPERLINK("http://141.218.60.56/~jnz1568/getInfo.php?workbook=14_06.xlsx&amp;sheet=U0&amp;row=406&amp;col=6&amp;number=3.2&amp;sourceID=14","3.2")</f>
        <v>3.2</v>
      </c>
      <c r="G406" s="4" t="str">
        <f>HYPERLINK("http://141.218.60.56/~jnz1568/getInfo.php?workbook=14_06.xlsx&amp;sheet=U0&amp;row=406&amp;col=7&amp;number=0.00159&amp;sourceID=14","0.00159")</f>
        <v>0.00159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HYPERLINK("http://141.218.60.56/~jnz1568/getInfo.php?workbook=14_06.xlsx&amp;sheet=U0&amp;row=407&amp;col=6&amp;number=3.3&amp;sourceID=14","3.3")</f>
        <v>3.3</v>
      </c>
      <c r="G407" s="4" t="str">
        <f>HYPERLINK("http://141.218.60.56/~jnz1568/getInfo.php?workbook=14_06.xlsx&amp;sheet=U0&amp;row=407&amp;col=7&amp;number=0.00159&amp;sourceID=14","0.00159")</f>
        <v>0.00159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HYPERLINK("http://141.218.60.56/~jnz1568/getInfo.php?workbook=14_06.xlsx&amp;sheet=U0&amp;row=408&amp;col=6&amp;number=3.4&amp;sourceID=14","3.4")</f>
        <v>3.4</v>
      </c>
      <c r="G408" s="4" t="str">
        <f>HYPERLINK("http://141.218.60.56/~jnz1568/getInfo.php?workbook=14_06.xlsx&amp;sheet=U0&amp;row=408&amp;col=7&amp;number=0.00159&amp;sourceID=14","0.00159")</f>
        <v>0.00159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HYPERLINK("http://141.218.60.56/~jnz1568/getInfo.php?workbook=14_06.xlsx&amp;sheet=U0&amp;row=409&amp;col=6&amp;number=3.5&amp;sourceID=14","3.5")</f>
        <v>3.5</v>
      </c>
      <c r="G409" s="4" t="str">
        <f>HYPERLINK("http://141.218.60.56/~jnz1568/getInfo.php?workbook=14_06.xlsx&amp;sheet=U0&amp;row=409&amp;col=7&amp;number=0.0016&amp;sourceID=14","0.0016")</f>
        <v>0.0016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HYPERLINK("http://141.218.60.56/~jnz1568/getInfo.php?workbook=14_06.xlsx&amp;sheet=U0&amp;row=410&amp;col=6&amp;number=3.6&amp;sourceID=14","3.6")</f>
        <v>3.6</v>
      </c>
      <c r="G410" s="4" t="str">
        <f>HYPERLINK("http://141.218.60.56/~jnz1568/getInfo.php?workbook=14_06.xlsx&amp;sheet=U0&amp;row=410&amp;col=7&amp;number=0.0016&amp;sourceID=14","0.0016")</f>
        <v>0.0016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HYPERLINK("http://141.218.60.56/~jnz1568/getInfo.php?workbook=14_06.xlsx&amp;sheet=U0&amp;row=411&amp;col=6&amp;number=3.7&amp;sourceID=14","3.7")</f>
        <v>3.7</v>
      </c>
      <c r="G411" s="4" t="str">
        <f>HYPERLINK("http://141.218.60.56/~jnz1568/getInfo.php?workbook=14_06.xlsx&amp;sheet=U0&amp;row=411&amp;col=7&amp;number=0.0016&amp;sourceID=14","0.0016")</f>
        <v>0.0016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HYPERLINK("http://141.218.60.56/~jnz1568/getInfo.php?workbook=14_06.xlsx&amp;sheet=U0&amp;row=412&amp;col=6&amp;number=3.8&amp;sourceID=14","3.8")</f>
        <v>3.8</v>
      </c>
      <c r="G412" s="4" t="str">
        <f>HYPERLINK("http://141.218.60.56/~jnz1568/getInfo.php?workbook=14_06.xlsx&amp;sheet=U0&amp;row=412&amp;col=7&amp;number=0.00161&amp;sourceID=14","0.00161")</f>
        <v>0.00161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HYPERLINK("http://141.218.60.56/~jnz1568/getInfo.php?workbook=14_06.xlsx&amp;sheet=U0&amp;row=413&amp;col=6&amp;number=3.9&amp;sourceID=14","3.9")</f>
        <v>3.9</v>
      </c>
      <c r="G413" s="4" t="str">
        <f>HYPERLINK("http://141.218.60.56/~jnz1568/getInfo.php?workbook=14_06.xlsx&amp;sheet=U0&amp;row=413&amp;col=7&amp;number=0.00161&amp;sourceID=14","0.00161")</f>
        <v>0.00161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HYPERLINK("http://141.218.60.56/~jnz1568/getInfo.php?workbook=14_06.xlsx&amp;sheet=U0&amp;row=414&amp;col=6&amp;number=4&amp;sourceID=14","4")</f>
        <v>4</v>
      </c>
      <c r="G414" s="4" t="str">
        <f>HYPERLINK("http://141.218.60.56/~jnz1568/getInfo.php?workbook=14_06.xlsx&amp;sheet=U0&amp;row=414&amp;col=7&amp;number=0.00162&amp;sourceID=14","0.00162")</f>
        <v>0.00162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HYPERLINK("http://141.218.60.56/~jnz1568/getInfo.php?workbook=14_06.xlsx&amp;sheet=U0&amp;row=415&amp;col=6&amp;number=4.1&amp;sourceID=14","4.1")</f>
        <v>4.1</v>
      </c>
      <c r="G415" s="4" t="str">
        <f>HYPERLINK("http://141.218.60.56/~jnz1568/getInfo.php?workbook=14_06.xlsx&amp;sheet=U0&amp;row=415&amp;col=7&amp;number=0.00162&amp;sourceID=14","0.00162")</f>
        <v>0.00162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HYPERLINK("http://141.218.60.56/~jnz1568/getInfo.php?workbook=14_06.xlsx&amp;sheet=U0&amp;row=416&amp;col=6&amp;number=4.2&amp;sourceID=14","4.2")</f>
        <v>4.2</v>
      </c>
      <c r="G416" s="4" t="str">
        <f>HYPERLINK("http://141.218.60.56/~jnz1568/getInfo.php?workbook=14_06.xlsx&amp;sheet=U0&amp;row=416&amp;col=7&amp;number=0.00163&amp;sourceID=14","0.00163")</f>
        <v>0.00163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HYPERLINK("http://141.218.60.56/~jnz1568/getInfo.php?workbook=14_06.xlsx&amp;sheet=U0&amp;row=417&amp;col=6&amp;number=4.3&amp;sourceID=14","4.3")</f>
        <v>4.3</v>
      </c>
      <c r="G417" s="4" t="str">
        <f>HYPERLINK("http://141.218.60.56/~jnz1568/getInfo.php?workbook=14_06.xlsx&amp;sheet=U0&amp;row=417&amp;col=7&amp;number=0.00164&amp;sourceID=14","0.00164")</f>
        <v>0.00164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HYPERLINK("http://141.218.60.56/~jnz1568/getInfo.php?workbook=14_06.xlsx&amp;sheet=U0&amp;row=418&amp;col=6&amp;number=4.4&amp;sourceID=14","4.4")</f>
        <v>4.4</v>
      </c>
      <c r="G418" s="4" t="str">
        <f>HYPERLINK("http://141.218.60.56/~jnz1568/getInfo.php?workbook=14_06.xlsx&amp;sheet=U0&amp;row=418&amp;col=7&amp;number=0.00166&amp;sourceID=14","0.00166")</f>
        <v>0.00166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HYPERLINK("http://141.218.60.56/~jnz1568/getInfo.php?workbook=14_06.xlsx&amp;sheet=U0&amp;row=419&amp;col=6&amp;number=4.5&amp;sourceID=14","4.5")</f>
        <v>4.5</v>
      </c>
      <c r="G419" s="4" t="str">
        <f>HYPERLINK("http://141.218.60.56/~jnz1568/getInfo.php?workbook=14_06.xlsx&amp;sheet=U0&amp;row=419&amp;col=7&amp;number=0.00168&amp;sourceID=14","0.00168")</f>
        <v>0.00168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HYPERLINK("http://141.218.60.56/~jnz1568/getInfo.php?workbook=14_06.xlsx&amp;sheet=U0&amp;row=420&amp;col=6&amp;number=4.6&amp;sourceID=14","4.6")</f>
        <v>4.6</v>
      </c>
      <c r="G420" s="4" t="str">
        <f>HYPERLINK("http://141.218.60.56/~jnz1568/getInfo.php?workbook=14_06.xlsx&amp;sheet=U0&amp;row=420&amp;col=7&amp;number=0.0017&amp;sourceID=14","0.0017")</f>
        <v>0.0017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HYPERLINK("http://141.218.60.56/~jnz1568/getInfo.php?workbook=14_06.xlsx&amp;sheet=U0&amp;row=421&amp;col=6&amp;number=4.7&amp;sourceID=14","4.7")</f>
        <v>4.7</v>
      </c>
      <c r="G421" s="4" t="str">
        <f>HYPERLINK("http://141.218.60.56/~jnz1568/getInfo.php?workbook=14_06.xlsx&amp;sheet=U0&amp;row=421&amp;col=7&amp;number=0.00173&amp;sourceID=14","0.00173")</f>
        <v>0.00173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HYPERLINK("http://141.218.60.56/~jnz1568/getInfo.php?workbook=14_06.xlsx&amp;sheet=U0&amp;row=422&amp;col=6&amp;number=4.8&amp;sourceID=14","4.8")</f>
        <v>4.8</v>
      </c>
      <c r="G422" s="4" t="str">
        <f>HYPERLINK("http://141.218.60.56/~jnz1568/getInfo.php?workbook=14_06.xlsx&amp;sheet=U0&amp;row=422&amp;col=7&amp;number=0.00177&amp;sourceID=14","0.00177")</f>
        <v>0.00177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HYPERLINK("http://141.218.60.56/~jnz1568/getInfo.php?workbook=14_06.xlsx&amp;sheet=U0&amp;row=423&amp;col=6&amp;number=4.9&amp;sourceID=14","4.9")</f>
        <v>4.9</v>
      </c>
      <c r="G423" s="4" t="str">
        <f>HYPERLINK("http://141.218.60.56/~jnz1568/getInfo.php?workbook=14_06.xlsx&amp;sheet=U0&amp;row=423&amp;col=7&amp;number=0.00181&amp;sourceID=14","0.00181")</f>
        <v>0.00181</v>
      </c>
    </row>
    <row r="424" spans="1:7">
      <c r="A424" s="3">
        <v>14</v>
      </c>
      <c r="B424" s="3">
        <v>6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HYPERLINK("http://141.218.60.56/~jnz1568/getInfo.php?workbook=14_06.xlsx&amp;sheet=U0&amp;row=424&amp;col=6&amp;number=3&amp;sourceID=14","3")</f>
        <v>3</v>
      </c>
      <c r="G424" s="4" t="str">
        <f>HYPERLINK("http://141.218.60.56/~jnz1568/getInfo.php?workbook=14_06.xlsx&amp;sheet=U0&amp;row=424&amp;col=7&amp;number=0.000962&amp;sourceID=14","0.000962")</f>
        <v>0.000962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HYPERLINK("http://141.218.60.56/~jnz1568/getInfo.php?workbook=14_06.xlsx&amp;sheet=U0&amp;row=425&amp;col=6&amp;number=3.1&amp;sourceID=14","3.1")</f>
        <v>3.1</v>
      </c>
      <c r="G425" s="4" t="str">
        <f>HYPERLINK("http://141.218.60.56/~jnz1568/getInfo.php?workbook=14_06.xlsx&amp;sheet=U0&amp;row=425&amp;col=7&amp;number=0.000962&amp;sourceID=14","0.000962")</f>
        <v>0.000962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HYPERLINK("http://141.218.60.56/~jnz1568/getInfo.php?workbook=14_06.xlsx&amp;sheet=U0&amp;row=426&amp;col=6&amp;number=3.2&amp;sourceID=14","3.2")</f>
        <v>3.2</v>
      </c>
      <c r="G426" s="4" t="str">
        <f>HYPERLINK("http://141.218.60.56/~jnz1568/getInfo.php?workbook=14_06.xlsx&amp;sheet=U0&amp;row=426&amp;col=7&amp;number=0.000962&amp;sourceID=14","0.000962")</f>
        <v>0.000962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HYPERLINK("http://141.218.60.56/~jnz1568/getInfo.php?workbook=14_06.xlsx&amp;sheet=U0&amp;row=427&amp;col=6&amp;number=3.3&amp;sourceID=14","3.3")</f>
        <v>3.3</v>
      </c>
      <c r="G427" s="4" t="str">
        <f>HYPERLINK("http://141.218.60.56/~jnz1568/getInfo.php?workbook=14_06.xlsx&amp;sheet=U0&amp;row=427&amp;col=7&amp;number=0.000962&amp;sourceID=14","0.000962")</f>
        <v>0.000962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HYPERLINK("http://141.218.60.56/~jnz1568/getInfo.php?workbook=14_06.xlsx&amp;sheet=U0&amp;row=428&amp;col=6&amp;number=3.4&amp;sourceID=14","3.4")</f>
        <v>3.4</v>
      </c>
      <c r="G428" s="4" t="str">
        <f>HYPERLINK("http://141.218.60.56/~jnz1568/getInfo.php?workbook=14_06.xlsx&amp;sheet=U0&amp;row=428&amp;col=7&amp;number=0.000961&amp;sourceID=14","0.000961")</f>
        <v>0.000961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HYPERLINK("http://141.218.60.56/~jnz1568/getInfo.php?workbook=14_06.xlsx&amp;sheet=U0&amp;row=429&amp;col=6&amp;number=3.5&amp;sourceID=14","3.5")</f>
        <v>3.5</v>
      </c>
      <c r="G429" s="4" t="str">
        <f>HYPERLINK("http://141.218.60.56/~jnz1568/getInfo.php?workbook=14_06.xlsx&amp;sheet=U0&amp;row=429&amp;col=7&amp;number=0.000961&amp;sourceID=14","0.000961")</f>
        <v>0.000961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HYPERLINK("http://141.218.60.56/~jnz1568/getInfo.php?workbook=14_06.xlsx&amp;sheet=U0&amp;row=430&amp;col=6&amp;number=3.6&amp;sourceID=14","3.6")</f>
        <v>3.6</v>
      </c>
      <c r="G430" s="4" t="str">
        <f>HYPERLINK("http://141.218.60.56/~jnz1568/getInfo.php?workbook=14_06.xlsx&amp;sheet=U0&amp;row=430&amp;col=7&amp;number=0.000961&amp;sourceID=14","0.000961")</f>
        <v>0.000961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HYPERLINK("http://141.218.60.56/~jnz1568/getInfo.php?workbook=14_06.xlsx&amp;sheet=U0&amp;row=431&amp;col=6&amp;number=3.7&amp;sourceID=14","3.7")</f>
        <v>3.7</v>
      </c>
      <c r="G431" s="4" t="str">
        <f>HYPERLINK("http://141.218.60.56/~jnz1568/getInfo.php?workbook=14_06.xlsx&amp;sheet=U0&amp;row=431&amp;col=7&amp;number=0.000961&amp;sourceID=14","0.000961")</f>
        <v>0.000961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HYPERLINK("http://141.218.60.56/~jnz1568/getInfo.php?workbook=14_06.xlsx&amp;sheet=U0&amp;row=432&amp;col=6&amp;number=3.8&amp;sourceID=14","3.8")</f>
        <v>3.8</v>
      </c>
      <c r="G432" s="4" t="str">
        <f>HYPERLINK("http://141.218.60.56/~jnz1568/getInfo.php?workbook=14_06.xlsx&amp;sheet=U0&amp;row=432&amp;col=7&amp;number=0.00096&amp;sourceID=14","0.00096")</f>
        <v>0.00096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HYPERLINK("http://141.218.60.56/~jnz1568/getInfo.php?workbook=14_06.xlsx&amp;sheet=U0&amp;row=433&amp;col=6&amp;number=3.9&amp;sourceID=14","3.9")</f>
        <v>3.9</v>
      </c>
      <c r="G433" s="4" t="str">
        <f>HYPERLINK("http://141.218.60.56/~jnz1568/getInfo.php?workbook=14_06.xlsx&amp;sheet=U0&amp;row=433&amp;col=7&amp;number=0.00096&amp;sourceID=14","0.00096")</f>
        <v>0.00096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HYPERLINK("http://141.218.60.56/~jnz1568/getInfo.php?workbook=14_06.xlsx&amp;sheet=U0&amp;row=434&amp;col=6&amp;number=4&amp;sourceID=14","4")</f>
        <v>4</v>
      </c>
      <c r="G434" s="4" t="str">
        <f>HYPERLINK("http://141.218.60.56/~jnz1568/getInfo.php?workbook=14_06.xlsx&amp;sheet=U0&amp;row=434&amp;col=7&amp;number=0.000959&amp;sourceID=14","0.000959")</f>
        <v>0.000959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HYPERLINK("http://141.218.60.56/~jnz1568/getInfo.php?workbook=14_06.xlsx&amp;sheet=U0&amp;row=435&amp;col=6&amp;number=4.1&amp;sourceID=14","4.1")</f>
        <v>4.1</v>
      </c>
      <c r="G435" s="4" t="str">
        <f>HYPERLINK("http://141.218.60.56/~jnz1568/getInfo.php?workbook=14_06.xlsx&amp;sheet=U0&amp;row=435&amp;col=7&amp;number=0.000958&amp;sourceID=14","0.000958")</f>
        <v>0.000958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HYPERLINK("http://141.218.60.56/~jnz1568/getInfo.php?workbook=14_06.xlsx&amp;sheet=U0&amp;row=436&amp;col=6&amp;number=4.2&amp;sourceID=14","4.2")</f>
        <v>4.2</v>
      </c>
      <c r="G436" s="4" t="str">
        <f>HYPERLINK("http://141.218.60.56/~jnz1568/getInfo.php?workbook=14_06.xlsx&amp;sheet=U0&amp;row=436&amp;col=7&amp;number=0.000957&amp;sourceID=14","0.000957")</f>
        <v>0.000957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HYPERLINK("http://141.218.60.56/~jnz1568/getInfo.php?workbook=14_06.xlsx&amp;sheet=U0&amp;row=437&amp;col=6&amp;number=4.3&amp;sourceID=14","4.3")</f>
        <v>4.3</v>
      </c>
      <c r="G437" s="4" t="str">
        <f>HYPERLINK("http://141.218.60.56/~jnz1568/getInfo.php?workbook=14_06.xlsx&amp;sheet=U0&amp;row=437&amp;col=7&amp;number=0.000956&amp;sourceID=14","0.000956")</f>
        <v>0.000956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HYPERLINK("http://141.218.60.56/~jnz1568/getInfo.php?workbook=14_06.xlsx&amp;sheet=U0&amp;row=438&amp;col=6&amp;number=4.4&amp;sourceID=14","4.4")</f>
        <v>4.4</v>
      </c>
      <c r="G438" s="4" t="str">
        <f>HYPERLINK("http://141.218.60.56/~jnz1568/getInfo.php?workbook=14_06.xlsx&amp;sheet=U0&amp;row=438&amp;col=7&amp;number=0.000955&amp;sourceID=14","0.000955")</f>
        <v>0.000955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HYPERLINK("http://141.218.60.56/~jnz1568/getInfo.php?workbook=14_06.xlsx&amp;sheet=U0&amp;row=439&amp;col=6&amp;number=4.5&amp;sourceID=14","4.5")</f>
        <v>4.5</v>
      </c>
      <c r="G439" s="4" t="str">
        <f>HYPERLINK("http://141.218.60.56/~jnz1568/getInfo.php?workbook=14_06.xlsx&amp;sheet=U0&amp;row=439&amp;col=7&amp;number=0.000953&amp;sourceID=14","0.000953")</f>
        <v>0.000953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HYPERLINK("http://141.218.60.56/~jnz1568/getInfo.php?workbook=14_06.xlsx&amp;sheet=U0&amp;row=440&amp;col=6&amp;number=4.6&amp;sourceID=14","4.6")</f>
        <v>4.6</v>
      </c>
      <c r="G440" s="4" t="str">
        <f>HYPERLINK("http://141.218.60.56/~jnz1568/getInfo.php?workbook=14_06.xlsx&amp;sheet=U0&amp;row=440&amp;col=7&amp;number=0.00095&amp;sourceID=14","0.00095")</f>
        <v>0.00095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HYPERLINK("http://141.218.60.56/~jnz1568/getInfo.php?workbook=14_06.xlsx&amp;sheet=U0&amp;row=441&amp;col=6&amp;number=4.7&amp;sourceID=14","4.7")</f>
        <v>4.7</v>
      </c>
      <c r="G441" s="4" t="str">
        <f>HYPERLINK("http://141.218.60.56/~jnz1568/getInfo.php?workbook=14_06.xlsx&amp;sheet=U0&amp;row=441&amp;col=7&amp;number=0.000947&amp;sourceID=14","0.000947")</f>
        <v>0.000947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HYPERLINK("http://141.218.60.56/~jnz1568/getInfo.php?workbook=14_06.xlsx&amp;sheet=U0&amp;row=442&amp;col=6&amp;number=4.8&amp;sourceID=14","4.8")</f>
        <v>4.8</v>
      </c>
      <c r="G442" s="4" t="str">
        <f>HYPERLINK("http://141.218.60.56/~jnz1568/getInfo.php?workbook=14_06.xlsx&amp;sheet=U0&amp;row=442&amp;col=7&amp;number=0.000943&amp;sourceID=14","0.000943")</f>
        <v>0.000943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HYPERLINK("http://141.218.60.56/~jnz1568/getInfo.php?workbook=14_06.xlsx&amp;sheet=U0&amp;row=443&amp;col=6&amp;number=4.9&amp;sourceID=14","4.9")</f>
        <v>4.9</v>
      </c>
      <c r="G443" s="4" t="str">
        <f>HYPERLINK("http://141.218.60.56/~jnz1568/getInfo.php?workbook=14_06.xlsx&amp;sheet=U0&amp;row=443&amp;col=7&amp;number=0.000939&amp;sourceID=14","0.000939")</f>
        <v>0.000939</v>
      </c>
    </row>
    <row r="444" spans="1:7">
      <c r="A444" s="3">
        <v>14</v>
      </c>
      <c r="B444" s="3">
        <v>6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HYPERLINK("http://141.218.60.56/~jnz1568/getInfo.php?workbook=14_06.xlsx&amp;sheet=U0&amp;row=444&amp;col=6&amp;number=3&amp;sourceID=14","3")</f>
        <v>3</v>
      </c>
      <c r="G444" s="4" t="str">
        <f>HYPERLINK("http://141.218.60.56/~jnz1568/getInfo.php?workbook=14_06.xlsx&amp;sheet=U0&amp;row=444&amp;col=7&amp;number=0.000973&amp;sourceID=14","0.000973")</f>
        <v>0.000973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HYPERLINK("http://141.218.60.56/~jnz1568/getInfo.php?workbook=14_06.xlsx&amp;sheet=U0&amp;row=445&amp;col=6&amp;number=3.1&amp;sourceID=14","3.1")</f>
        <v>3.1</v>
      </c>
      <c r="G445" s="4" t="str">
        <f>HYPERLINK("http://141.218.60.56/~jnz1568/getInfo.php?workbook=14_06.xlsx&amp;sheet=U0&amp;row=445&amp;col=7&amp;number=0.000973&amp;sourceID=14","0.000973")</f>
        <v>0.000973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HYPERLINK("http://141.218.60.56/~jnz1568/getInfo.php?workbook=14_06.xlsx&amp;sheet=U0&amp;row=446&amp;col=6&amp;number=3.2&amp;sourceID=14","3.2")</f>
        <v>3.2</v>
      </c>
      <c r="G446" s="4" t="str">
        <f>HYPERLINK("http://141.218.60.56/~jnz1568/getInfo.php?workbook=14_06.xlsx&amp;sheet=U0&amp;row=446&amp;col=7&amp;number=0.000973&amp;sourceID=14","0.000973")</f>
        <v>0.000973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HYPERLINK("http://141.218.60.56/~jnz1568/getInfo.php?workbook=14_06.xlsx&amp;sheet=U0&amp;row=447&amp;col=6&amp;number=3.3&amp;sourceID=14","3.3")</f>
        <v>3.3</v>
      </c>
      <c r="G447" s="4" t="str">
        <f>HYPERLINK("http://141.218.60.56/~jnz1568/getInfo.php?workbook=14_06.xlsx&amp;sheet=U0&amp;row=447&amp;col=7&amp;number=0.000973&amp;sourceID=14","0.000973")</f>
        <v>0.000973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HYPERLINK("http://141.218.60.56/~jnz1568/getInfo.php?workbook=14_06.xlsx&amp;sheet=U0&amp;row=448&amp;col=6&amp;number=3.4&amp;sourceID=14","3.4")</f>
        <v>3.4</v>
      </c>
      <c r="G448" s="4" t="str">
        <f>HYPERLINK("http://141.218.60.56/~jnz1568/getInfo.php?workbook=14_06.xlsx&amp;sheet=U0&amp;row=448&amp;col=7&amp;number=0.000973&amp;sourceID=14","0.000973")</f>
        <v>0.000973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HYPERLINK("http://141.218.60.56/~jnz1568/getInfo.php?workbook=14_06.xlsx&amp;sheet=U0&amp;row=449&amp;col=6&amp;number=3.5&amp;sourceID=14","3.5")</f>
        <v>3.5</v>
      </c>
      <c r="G449" s="4" t="str">
        <f>HYPERLINK("http://141.218.60.56/~jnz1568/getInfo.php?workbook=14_06.xlsx&amp;sheet=U0&amp;row=449&amp;col=7&amp;number=0.000973&amp;sourceID=14","0.000973")</f>
        <v>0.000973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HYPERLINK("http://141.218.60.56/~jnz1568/getInfo.php?workbook=14_06.xlsx&amp;sheet=U0&amp;row=450&amp;col=6&amp;number=3.6&amp;sourceID=14","3.6")</f>
        <v>3.6</v>
      </c>
      <c r="G450" s="4" t="str">
        <f>HYPERLINK("http://141.218.60.56/~jnz1568/getInfo.php?workbook=14_06.xlsx&amp;sheet=U0&amp;row=450&amp;col=7&amp;number=0.000972&amp;sourceID=14","0.000972")</f>
        <v>0.000972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HYPERLINK("http://141.218.60.56/~jnz1568/getInfo.php?workbook=14_06.xlsx&amp;sheet=U0&amp;row=451&amp;col=6&amp;number=3.7&amp;sourceID=14","3.7")</f>
        <v>3.7</v>
      </c>
      <c r="G451" s="4" t="str">
        <f>HYPERLINK("http://141.218.60.56/~jnz1568/getInfo.php?workbook=14_06.xlsx&amp;sheet=U0&amp;row=451&amp;col=7&amp;number=0.000972&amp;sourceID=14","0.000972")</f>
        <v>0.000972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HYPERLINK("http://141.218.60.56/~jnz1568/getInfo.php?workbook=14_06.xlsx&amp;sheet=U0&amp;row=452&amp;col=6&amp;number=3.8&amp;sourceID=14","3.8")</f>
        <v>3.8</v>
      </c>
      <c r="G452" s="4" t="str">
        <f>HYPERLINK("http://141.218.60.56/~jnz1568/getInfo.php?workbook=14_06.xlsx&amp;sheet=U0&amp;row=452&amp;col=7&amp;number=0.000972&amp;sourceID=14","0.000972")</f>
        <v>0.000972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HYPERLINK("http://141.218.60.56/~jnz1568/getInfo.php?workbook=14_06.xlsx&amp;sheet=U0&amp;row=453&amp;col=6&amp;number=3.9&amp;sourceID=14","3.9")</f>
        <v>3.9</v>
      </c>
      <c r="G453" s="4" t="str">
        <f>HYPERLINK("http://141.218.60.56/~jnz1568/getInfo.php?workbook=14_06.xlsx&amp;sheet=U0&amp;row=453&amp;col=7&amp;number=0.000971&amp;sourceID=14","0.000971")</f>
        <v>0.000971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HYPERLINK("http://141.218.60.56/~jnz1568/getInfo.php?workbook=14_06.xlsx&amp;sheet=U0&amp;row=454&amp;col=6&amp;number=4&amp;sourceID=14","4")</f>
        <v>4</v>
      </c>
      <c r="G454" s="4" t="str">
        <f>HYPERLINK("http://141.218.60.56/~jnz1568/getInfo.php?workbook=14_06.xlsx&amp;sheet=U0&amp;row=454&amp;col=7&amp;number=0.000971&amp;sourceID=14","0.000971")</f>
        <v>0.000971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HYPERLINK("http://141.218.60.56/~jnz1568/getInfo.php?workbook=14_06.xlsx&amp;sheet=U0&amp;row=455&amp;col=6&amp;number=4.1&amp;sourceID=14","4.1")</f>
        <v>4.1</v>
      </c>
      <c r="G455" s="4" t="str">
        <f>HYPERLINK("http://141.218.60.56/~jnz1568/getInfo.php?workbook=14_06.xlsx&amp;sheet=U0&amp;row=455&amp;col=7&amp;number=0.00097&amp;sourceID=14","0.00097")</f>
        <v>0.00097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HYPERLINK("http://141.218.60.56/~jnz1568/getInfo.php?workbook=14_06.xlsx&amp;sheet=U0&amp;row=456&amp;col=6&amp;number=4.2&amp;sourceID=14","4.2")</f>
        <v>4.2</v>
      </c>
      <c r="G456" s="4" t="str">
        <f>HYPERLINK("http://141.218.60.56/~jnz1568/getInfo.php?workbook=14_06.xlsx&amp;sheet=U0&amp;row=456&amp;col=7&amp;number=0.00097&amp;sourceID=14","0.00097")</f>
        <v>0.00097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HYPERLINK("http://141.218.60.56/~jnz1568/getInfo.php?workbook=14_06.xlsx&amp;sheet=U0&amp;row=457&amp;col=6&amp;number=4.3&amp;sourceID=14","4.3")</f>
        <v>4.3</v>
      </c>
      <c r="G457" s="4" t="str">
        <f>HYPERLINK("http://141.218.60.56/~jnz1568/getInfo.php?workbook=14_06.xlsx&amp;sheet=U0&amp;row=457&amp;col=7&amp;number=0.000969&amp;sourceID=14","0.000969")</f>
        <v>0.000969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HYPERLINK("http://141.218.60.56/~jnz1568/getInfo.php?workbook=14_06.xlsx&amp;sheet=U0&amp;row=458&amp;col=6&amp;number=4.4&amp;sourceID=14","4.4")</f>
        <v>4.4</v>
      </c>
      <c r="G458" s="4" t="str">
        <f>HYPERLINK("http://141.218.60.56/~jnz1568/getInfo.php?workbook=14_06.xlsx&amp;sheet=U0&amp;row=458&amp;col=7&amp;number=0.000967&amp;sourceID=14","0.000967")</f>
        <v>0.000967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HYPERLINK("http://141.218.60.56/~jnz1568/getInfo.php?workbook=14_06.xlsx&amp;sheet=U0&amp;row=459&amp;col=6&amp;number=4.5&amp;sourceID=14","4.5")</f>
        <v>4.5</v>
      </c>
      <c r="G459" s="4" t="str">
        <f>HYPERLINK("http://141.218.60.56/~jnz1568/getInfo.php?workbook=14_06.xlsx&amp;sheet=U0&amp;row=459&amp;col=7&amp;number=0.000966&amp;sourceID=14","0.000966")</f>
        <v>0.000966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HYPERLINK("http://141.218.60.56/~jnz1568/getInfo.php?workbook=14_06.xlsx&amp;sheet=U0&amp;row=460&amp;col=6&amp;number=4.6&amp;sourceID=14","4.6")</f>
        <v>4.6</v>
      </c>
      <c r="G460" s="4" t="str">
        <f>HYPERLINK("http://141.218.60.56/~jnz1568/getInfo.php?workbook=14_06.xlsx&amp;sheet=U0&amp;row=460&amp;col=7&amp;number=0.000964&amp;sourceID=14","0.000964")</f>
        <v>0.000964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HYPERLINK("http://141.218.60.56/~jnz1568/getInfo.php?workbook=14_06.xlsx&amp;sheet=U0&amp;row=461&amp;col=6&amp;number=4.7&amp;sourceID=14","4.7")</f>
        <v>4.7</v>
      </c>
      <c r="G461" s="4" t="str">
        <f>HYPERLINK("http://141.218.60.56/~jnz1568/getInfo.php?workbook=14_06.xlsx&amp;sheet=U0&amp;row=461&amp;col=7&amp;number=0.000962&amp;sourceID=14","0.000962")</f>
        <v>0.000962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HYPERLINK("http://141.218.60.56/~jnz1568/getInfo.php?workbook=14_06.xlsx&amp;sheet=U0&amp;row=462&amp;col=6&amp;number=4.8&amp;sourceID=14","4.8")</f>
        <v>4.8</v>
      </c>
      <c r="G462" s="4" t="str">
        <f>HYPERLINK("http://141.218.60.56/~jnz1568/getInfo.php?workbook=14_06.xlsx&amp;sheet=U0&amp;row=462&amp;col=7&amp;number=0.000959&amp;sourceID=14","0.000959")</f>
        <v>0.000959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HYPERLINK("http://141.218.60.56/~jnz1568/getInfo.php?workbook=14_06.xlsx&amp;sheet=U0&amp;row=463&amp;col=6&amp;number=4.9&amp;sourceID=14","4.9")</f>
        <v>4.9</v>
      </c>
      <c r="G463" s="4" t="str">
        <f>HYPERLINK("http://141.218.60.56/~jnz1568/getInfo.php?workbook=14_06.xlsx&amp;sheet=U0&amp;row=463&amp;col=7&amp;number=0.000955&amp;sourceID=14","0.000955")</f>
        <v>0.000955</v>
      </c>
    </row>
    <row r="464" spans="1:7">
      <c r="A464" s="3">
        <v>14</v>
      </c>
      <c r="B464" s="3">
        <v>6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HYPERLINK("http://141.218.60.56/~jnz1568/getInfo.php?workbook=14_06.xlsx&amp;sheet=U0&amp;row=464&amp;col=6&amp;number=3&amp;sourceID=14","3")</f>
        <v>3</v>
      </c>
      <c r="G464" s="4" t="str">
        <f>HYPERLINK("http://141.218.60.56/~jnz1568/getInfo.php?workbook=14_06.xlsx&amp;sheet=U0&amp;row=464&amp;col=7&amp;number=0.00525&amp;sourceID=14","0.00525")</f>
        <v>0.00525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HYPERLINK("http://141.218.60.56/~jnz1568/getInfo.php?workbook=14_06.xlsx&amp;sheet=U0&amp;row=465&amp;col=6&amp;number=3.1&amp;sourceID=14","3.1")</f>
        <v>3.1</v>
      </c>
      <c r="G465" s="4" t="str">
        <f>HYPERLINK("http://141.218.60.56/~jnz1568/getInfo.php?workbook=14_06.xlsx&amp;sheet=U0&amp;row=465&amp;col=7&amp;number=0.00525&amp;sourceID=14","0.00525")</f>
        <v>0.00525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HYPERLINK("http://141.218.60.56/~jnz1568/getInfo.php?workbook=14_06.xlsx&amp;sheet=U0&amp;row=466&amp;col=6&amp;number=3.2&amp;sourceID=14","3.2")</f>
        <v>3.2</v>
      </c>
      <c r="G466" s="4" t="str">
        <f>HYPERLINK("http://141.218.60.56/~jnz1568/getInfo.php?workbook=14_06.xlsx&amp;sheet=U0&amp;row=466&amp;col=7&amp;number=0.00525&amp;sourceID=14","0.00525")</f>
        <v>0.00525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HYPERLINK("http://141.218.60.56/~jnz1568/getInfo.php?workbook=14_06.xlsx&amp;sheet=U0&amp;row=467&amp;col=6&amp;number=3.3&amp;sourceID=14","3.3")</f>
        <v>3.3</v>
      </c>
      <c r="G467" s="4" t="str">
        <f>HYPERLINK("http://141.218.60.56/~jnz1568/getInfo.php?workbook=14_06.xlsx&amp;sheet=U0&amp;row=467&amp;col=7&amp;number=0.00525&amp;sourceID=14","0.00525")</f>
        <v>0.00525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HYPERLINK("http://141.218.60.56/~jnz1568/getInfo.php?workbook=14_06.xlsx&amp;sheet=U0&amp;row=468&amp;col=6&amp;number=3.4&amp;sourceID=14","3.4")</f>
        <v>3.4</v>
      </c>
      <c r="G468" s="4" t="str">
        <f>HYPERLINK("http://141.218.60.56/~jnz1568/getInfo.php?workbook=14_06.xlsx&amp;sheet=U0&amp;row=468&amp;col=7&amp;number=0.00525&amp;sourceID=14","0.00525")</f>
        <v>0.00525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HYPERLINK("http://141.218.60.56/~jnz1568/getInfo.php?workbook=14_06.xlsx&amp;sheet=U0&amp;row=469&amp;col=6&amp;number=3.5&amp;sourceID=14","3.5")</f>
        <v>3.5</v>
      </c>
      <c r="G469" s="4" t="str">
        <f>HYPERLINK("http://141.218.60.56/~jnz1568/getInfo.php?workbook=14_06.xlsx&amp;sheet=U0&amp;row=469&amp;col=7&amp;number=0.00525&amp;sourceID=14","0.00525")</f>
        <v>0.00525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HYPERLINK("http://141.218.60.56/~jnz1568/getInfo.php?workbook=14_06.xlsx&amp;sheet=U0&amp;row=470&amp;col=6&amp;number=3.6&amp;sourceID=14","3.6")</f>
        <v>3.6</v>
      </c>
      <c r="G470" s="4" t="str">
        <f>HYPERLINK("http://141.218.60.56/~jnz1568/getInfo.php?workbook=14_06.xlsx&amp;sheet=U0&amp;row=470&amp;col=7&amp;number=0.00525&amp;sourceID=14","0.00525")</f>
        <v>0.00525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HYPERLINK("http://141.218.60.56/~jnz1568/getInfo.php?workbook=14_06.xlsx&amp;sheet=U0&amp;row=471&amp;col=6&amp;number=3.7&amp;sourceID=14","3.7")</f>
        <v>3.7</v>
      </c>
      <c r="G471" s="4" t="str">
        <f>HYPERLINK("http://141.218.60.56/~jnz1568/getInfo.php?workbook=14_06.xlsx&amp;sheet=U0&amp;row=471&amp;col=7&amp;number=0.00525&amp;sourceID=14","0.00525")</f>
        <v>0.00525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HYPERLINK("http://141.218.60.56/~jnz1568/getInfo.php?workbook=14_06.xlsx&amp;sheet=U0&amp;row=472&amp;col=6&amp;number=3.8&amp;sourceID=14","3.8")</f>
        <v>3.8</v>
      </c>
      <c r="G472" s="4" t="str">
        <f>HYPERLINK("http://141.218.60.56/~jnz1568/getInfo.php?workbook=14_06.xlsx&amp;sheet=U0&amp;row=472&amp;col=7&amp;number=0.00525&amp;sourceID=14","0.00525")</f>
        <v>0.00525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HYPERLINK("http://141.218.60.56/~jnz1568/getInfo.php?workbook=14_06.xlsx&amp;sheet=U0&amp;row=473&amp;col=6&amp;number=3.9&amp;sourceID=14","3.9")</f>
        <v>3.9</v>
      </c>
      <c r="G473" s="4" t="str">
        <f>HYPERLINK("http://141.218.60.56/~jnz1568/getInfo.php?workbook=14_06.xlsx&amp;sheet=U0&amp;row=473&amp;col=7&amp;number=0.00524&amp;sourceID=14","0.00524")</f>
        <v>0.00524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HYPERLINK("http://141.218.60.56/~jnz1568/getInfo.php?workbook=14_06.xlsx&amp;sheet=U0&amp;row=474&amp;col=6&amp;number=4&amp;sourceID=14","4")</f>
        <v>4</v>
      </c>
      <c r="G474" s="4" t="str">
        <f>HYPERLINK("http://141.218.60.56/~jnz1568/getInfo.php?workbook=14_06.xlsx&amp;sheet=U0&amp;row=474&amp;col=7&amp;number=0.00524&amp;sourceID=14","0.00524")</f>
        <v>0.00524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HYPERLINK("http://141.218.60.56/~jnz1568/getInfo.php?workbook=14_06.xlsx&amp;sheet=U0&amp;row=475&amp;col=6&amp;number=4.1&amp;sourceID=14","4.1")</f>
        <v>4.1</v>
      </c>
      <c r="G475" s="4" t="str">
        <f>HYPERLINK("http://141.218.60.56/~jnz1568/getInfo.php?workbook=14_06.xlsx&amp;sheet=U0&amp;row=475&amp;col=7&amp;number=0.00523&amp;sourceID=14","0.00523")</f>
        <v>0.00523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HYPERLINK("http://141.218.60.56/~jnz1568/getInfo.php?workbook=14_06.xlsx&amp;sheet=U0&amp;row=476&amp;col=6&amp;number=4.2&amp;sourceID=14","4.2")</f>
        <v>4.2</v>
      </c>
      <c r="G476" s="4" t="str">
        <f>HYPERLINK("http://141.218.60.56/~jnz1568/getInfo.php?workbook=14_06.xlsx&amp;sheet=U0&amp;row=476&amp;col=7&amp;number=0.00523&amp;sourceID=14","0.00523")</f>
        <v>0.00523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HYPERLINK("http://141.218.60.56/~jnz1568/getInfo.php?workbook=14_06.xlsx&amp;sheet=U0&amp;row=477&amp;col=6&amp;number=4.3&amp;sourceID=14","4.3")</f>
        <v>4.3</v>
      </c>
      <c r="G477" s="4" t="str">
        <f>HYPERLINK("http://141.218.60.56/~jnz1568/getInfo.php?workbook=14_06.xlsx&amp;sheet=U0&amp;row=477&amp;col=7&amp;number=0.00522&amp;sourceID=14","0.00522")</f>
        <v>0.00522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HYPERLINK("http://141.218.60.56/~jnz1568/getInfo.php?workbook=14_06.xlsx&amp;sheet=U0&amp;row=478&amp;col=6&amp;number=4.4&amp;sourceID=14","4.4")</f>
        <v>4.4</v>
      </c>
      <c r="G478" s="4" t="str">
        <f>HYPERLINK("http://141.218.60.56/~jnz1568/getInfo.php?workbook=14_06.xlsx&amp;sheet=U0&amp;row=478&amp;col=7&amp;number=0.00521&amp;sourceID=14","0.00521")</f>
        <v>0.00521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HYPERLINK("http://141.218.60.56/~jnz1568/getInfo.php?workbook=14_06.xlsx&amp;sheet=U0&amp;row=479&amp;col=6&amp;number=4.5&amp;sourceID=14","4.5")</f>
        <v>4.5</v>
      </c>
      <c r="G479" s="4" t="str">
        <f>HYPERLINK("http://141.218.60.56/~jnz1568/getInfo.php?workbook=14_06.xlsx&amp;sheet=U0&amp;row=479&amp;col=7&amp;number=0.0052&amp;sourceID=14","0.0052")</f>
        <v>0.0052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HYPERLINK("http://141.218.60.56/~jnz1568/getInfo.php?workbook=14_06.xlsx&amp;sheet=U0&amp;row=480&amp;col=6&amp;number=4.6&amp;sourceID=14","4.6")</f>
        <v>4.6</v>
      </c>
      <c r="G480" s="4" t="str">
        <f>HYPERLINK("http://141.218.60.56/~jnz1568/getInfo.php?workbook=14_06.xlsx&amp;sheet=U0&amp;row=480&amp;col=7&amp;number=0.00519&amp;sourceID=14","0.00519")</f>
        <v>0.00519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HYPERLINK("http://141.218.60.56/~jnz1568/getInfo.php?workbook=14_06.xlsx&amp;sheet=U0&amp;row=481&amp;col=6&amp;number=4.7&amp;sourceID=14","4.7")</f>
        <v>4.7</v>
      </c>
      <c r="G481" s="4" t="str">
        <f>HYPERLINK("http://141.218.60.56/~jnz1568/getInfo.php?workbook=14_06.xlsx&amp;sheet=U0&amp;row=481&amp;col=7&amp;number=0.00517&amp;sourceID=14","0.00517")</f>
        <v>0.00517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HYPERLINK("http://141.218.60.56/~jnz1568/getInfo.php?workbook=14_06.xlsx&amp;sheet=U0&amp;row=482&amp;col=6&amp;number=4.8&amp;sourceID=14","4.8")</f>
        <v>4.8</v>
      </c>
      <c r="G482" s="4" t="str">
        <f>HYPERLINK("http://141.218.60.56/~jnz1568/getInfo.php?workbook=14_06.xlsx&amp;sheet=U0&amp;row=482&amp;col=7&amp;number=0.00515&amp;sourceID=14","0.00515")</f>
        <v>0.00515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HYPERLINK("http://141.218.60.56/~jnz1568/getInfo.php?workbook=14_06.xlsx&amp;sheet=U0&amp;row=483&amp;col=6&amp;number=4.9&amp;sourceID=14","4.9")</f>
        <v>4.9</v>
      </c>
      <c r="G483" s="4" t="str">
        <f>HYPERLINK("http://141.218.60.56/~jnz1568/getInfo.php?workbook=14_06.xlsx&amp;sheet=U0&amp;row=483&amp;col=7&amp;number=0.00512&amp;sourceID=14","0.00512")</f>
        <v>0.00512</v>
      </c>
    </row>
    <row r="484" spans="1:7">
      <c r="A484" s="3">
        <v>14</v>
      </c>
      <c r="B484" s="3">
        <v>6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HYPERLINK("http://141.218.60.56/~jnz1568/getInfo.php?workbook=14_06.xlsx&amp;sheet=U0&amp;row=484&amp;col=6&amp;number=3&amp;sourceID=14","3")</f>
        <v>3</v>
      </c>
      <c r="G484" s="4" t="str">
        <f>HYPERLINK("http://141.218.60.56/~jnz1568/getInfo.php?workbook=14_06.xlsx&amp;sheet=U0&amp;row=484&amp;col=7&amp;number=0.00331&amp;sourceID=14","0.00331")</f>
        <v>0.00331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HYPERLINK("http://141.218.60.56/~jnz1568/getInfo.php?workbook=14_06.xlsx&amp;sheet=U0&amp;row=485&amp;col=6&amp;number=3.1&amp;sourceID=14","3.1")</f>
        <v>3.1</v>
      </c>
      <c r="G485" s="4" t="str">
        <f>HYPERLINK("http://141.218.60.56/~jnz1568/getInfo.php?workbook=14_06.xlsx&amp;sheet=U0&amp;row=485&amp;col=7&amp;number=0.00331&amp;sourceID=14","0.00331")</f>
        <v>0.00331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HYPERLINK("http://141.218.60.56/~jnz1568/getInfo.php?workbook=14_06.xlsx&amp;sheet=U0&amp;row=486&amp;col=6&amp;number=3.2&amp;sourceID=14","3.2")</f>
        <v>3.2</v>
      </c>
      <c r="G486" s="4" t="str">
        <f>HYPERLINK("http://141.218.60.56/~jnz1568/getInfo.php?workbook=14_06.xlsx&amp;sheet=U0&amp;row=486&amp;col=7&amp;number=0.00331&amp;sourceID=14","0.00331")</f>
        <v>0.00331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HYPERLINK("http://141.218.60.56/~jnz1568/getInfo.php?workbook=14_06.xlsx&amp;sheet=U0&amp;row=487&amp;col=6&amp;number=3.3&amp;sourceID=14","3.3")</f>
        <v>3.3</v>
      </c>
      <c r="G487" s="4" t="str">
        <f>HYPERLINK("http://141.218.60.56/~jnz1568/getInfo.php?workbook=14_06.xlsx&amp;sheet=U0&amp;row=487&amp;col=7&amp;number=0.00331&amp;sourceID=14","0.00331")</f>
        <v>0.00331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HYPERLINK("http://141.218.60.56/~jnz1568/getInfo.php?workbook=14_06.xlsx&amp;sheet=U0&amp;row=488&amp;col=6&amp;number=3.4&amp;sourceID=14","3.4")</f>
        <v>3.4</v>
      </c>
      <c r="G488" s="4" t="str">
        <f>HYPERLINK("http://141.218.60.56/~jnz1568/getInfo.php?workbook=14_06.xlsx&amp;sheet=U0&amp;row=488&amp;col=7&amp;number=0.00331&amp;sourceID=14","0.00331")</f>
        <v>0.00331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HYPERLINK("http://141.218.60.56/~jnz1568/getInfo.php?workbook=14_06.xlsx&amp;sheet=U0&amp;row=489&amp;col=6&amp;number=3.5&amp;sourceID=14","3.5")</f>
        <v>3.5</v>
      </c>
      <c r="G489" s="4" t="str">
        <f>HYPERLINK("http://141.218.60.56/~jnz1568/getInfo.php?workbook=14_06.xlsx&amp;sheet=U0&amp;row=489&amp;col=7&amp;number=0.00331&amp;sourceID=14","0.00331")</f>
        <v>0.00331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HYPERLINK("http://141.218.60.56/~jnz1568/getInfo.php?workbook=14_06.xlsx&amp;sheet=U0&amp;row=490&amp;col=6&amp;number=3.6&amp;sourceID=14","3.6")</f>
        <v>3.6</v>
      </c>
      <c r="G490" s="4" t="str">
        <f>HYPERLINK("http://141.218.60.56/~jnz1568/getInfo.php?workbook=14_06.xlsx&amp;sheet=U0&amp;row=490&amp;col=7&amp;number=0.00331&amp;sourceID=14","0.00331")</f>
        <v>0.00331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HYPERLINK("http://141.218.60.56/~jnz1568/getInfo.php?workbook=14_06.xlsx&amp;sheet=U0&amp;row=491&amp;col=6&amp;number=3.7&amp;sourceID=14","3.7")</f>
        <v>3.7</v>
      </c>
      <c r="G491" s="4" t="str">
        <f>HYPERLINK("http://141.218.60.56/~jnz1568/getInfo.php?workbook=14_06.xlsx&amp;sheet=U0&amp;row=491&amp;col=7&amp;number=0.00331&amp;sourceID=14","0.00331")</f>
        <v>0.00331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HYPERLINK("http://141.218.60.56/~jnz1568/getInfo.php?workbook=14_06.xlsx&amp;sheet=U0&amp;row=492&amp;col=6&amp;number=3.8&amp;sourceID=14","3.8")</f>
        <v>3.8</v>
      </c>
      <c r="G492" s="4" t="str">
        <f>HYPERLINK("http://141.218.60.56/~jnz1568/getInfo.php?workbook=14_06.xlsx&amp;sheet=U0&amp;row=492&amp;col=7&amp;number=0.00331&amp;sourceID=14","0.00331")</f>
        <v>0.00331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HYPERLINK("http://141.218.60.56/~jnz1568/getInfo.php?workbook=14_06.xlsx&amp;sheet=U0&amp;row=493&amp;col=6&amp;number=3.9&amp;sourceID=14","3.9")</f>
        <v>3.9</v>
      </c>
      <c r="G493" s="4" t="str">
        <f>HYPERLINK("http://141.218.60.56/~jnz1568/getInfo.php?workbook=14_06.xlsx&amp;sheet=U0&amp;row=493&amp;col=7&amp;number=0.0033&amp;sourceID=14","0.0033")</f>
        <v>0.0033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HYPERLINK("http://141.218.60.56/~jnz1568/getInfo.php?workbook=14_06.xlsx&amp;sheet=U0&amp;row=494&amp;col=6&amp;number=4&amp;sourceID=14","4")</f>
        <v>4</v>
      </c>
      <c r="G494" s="4" t="str">
        <f>HYPERLINK("http://141.218.60.56/~jnz1568/getInfo.php?workbook=14_06.xlsx&amp;sheet=U0&amp;row=494&amp;col=7&amp;number=0.0033&amp;sourceID=14","0.0033")</f>
        <v>0.0033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HYPERLINK("http://141.218.60.56/~jnz1568/getInfo.php?workbook=14_06.xlsx&amp;sheet=U0&amp;row=495&amp;col=6&amp;number=4.1&amp;sourceID=14","4.1")</f>
        <v>4.1</v>
      </c>
      <c r="G495" s="4" t="str">
        <f>HYPERLINK("http://141.218.60.56/~jnz1568/getInfo.php?workbook=14_06.xlsx&amp;sheet=U0&amp;row=495&amp;col=7&amp;number=0.0033&amp;sourceID=14","0.0033")</f>
        <v>0.0033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HYPERLINK("http://141.218.60.56/~jnz1568/getInfo.php?workbook=14_06.xlsx&amp;sheet=U0&amp;row=496&amp;col=6&amp;number=4.2&amp;sourceID=14","4.2")</f>
        <v>4.2</v>
      </c>
      <c r="G496" s="4" t="str">
        <f>HYPERLINK("http://141.218.60.56/~jnz1568/getInfo.php?workbook=14_06.xlsx&amp;sheet=U0&amp;row=496&amp;col=7&amp;number=0.0033&amp;sourceID=14","0.0033")</f>
        <v>0.0033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HYPERLINK("http://141.218.60.56/~jnz1568/getInfo.php?workbook=14_06.xlsx&amp;sheet=U0&amp;row=497&amp;col=6&amp;number=4.3&amp;sourceID=14","4.3")</f>
        <v>4.3</v>
      </c>
      <c r="G497" s="4" t="str">
        <f>HYPERLINK("http://141.218.60.56/~jnz1568/getInfo.php?workbook=14_06.xlsx&amp;sheet=U0&amp;row=497&amp;col=7&amp;number=0.00329&amp;sourceID=14","0.00329")</f>
        <v>0.00329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HYPERLINK("http://141.218.60.56/~jnz1568/getInfo.php?workbook=14_06.xlsx&amp;sheet=U0&amp;row=498&amp;col=6&amp;number=4.4&amp;sourceID=14","4.4")</f>
        <v>4.4</v>
      </c>
      <c r="G498" s="4" t="str">
        <f>HYPERLINK("http://141.218.60.56/~jnz1568/getInfo.php?workbook=14_06.xlsx&amp;sheet=U0&amp;row=498&amp;col=7&amp;number=0.00329&amp;sourceID=14","0.00329")</f>
        <v>0.00329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HYPERLINK("http://141.218.60.56/~jnz1568/getInfo.php?workbook=14_06.xlsx&amp;sheet=U0&amp;row=499&amp;col=6&amp;number=4.5&amp;sourceID=14","4.5")</f>
        <v>4.5</v>
      </c>
      <c r="G499" s="4" t="str">
        <f>HYPERLINK("http://141.218.60.56/~jnz1568/getInfo.php?workbook=14_06.xlsx&amp;sheet=U0&amp;row=499&amp;col=7&amp;number=0.00328&amp;sourceID=14","0.00328")</f>
        <v>0.00328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HYPERLINK("http://141.218.60.56/~jnz1568/getInfo.php?workbook=14_06.xlsx&amp;sheet=U0&amp;row=500&amp;col=6&amp;number=4.6&amp;sourceID=14","4.6")</f>
        <v>4.6</v>
      </c>
      <c r="G500" s="4" t="str">
        <f>HYPERLINK("http://141.218.60.56/~jnz1568/getInfo.php?workbook=14_06.xlsx&amp;sheet=U0&amp;row=500&amp;col=7&amp;number=0.00327&amp;sourceID=14","0.00327")</f>
        <v>0.00327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HYPERLINK("http://141.218.60.56/~jnz1568/getInfo.php?workbook=14_06.xlsx&amp;sheet=U0&amp;row=501&amp;col=6&amp;number=4.7&amp;sourceID=14","4.7")</f>
        <v>4.7</v>
      </c>
      <c r="G501" s="4" t="str">
        <f>HYPERLINK("http://141.218.60.56/~jnz1568/getInfo.php?workbook=14_06.xlsx&amp;sheet=U0&amp;row=501&amp;col=7&amp;number=0.00326&amp;sourceID=14","0.00326")</f>
        <v>0.00326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HYPERLINK("http://141.218.60.56/~jnz1568/getInfo.php?workbook=14_06.xlsx&amp;sheet=U0&amp;row=502&amp;col=6&amp;number=4.8&amp;sourceID=14","4.8")</f>
        <v>4.8</v>
      </c>
      <c r="G502" s="4" t="str">
        <f>HYPERLINK("http://141.218.60.56/~jnz1568/getInfo.php?workbook=14_06.xlsx&amp;sheet=U0&amp;row=502&amp;col=7&amp;number=0.00324&amp;sourceID=14","0.00324")</f>
        <v>0.00324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HYPERLINK("http://141.218.60.56/~jnz1568/getInfo.php?workbook=14_06.xlsx&amp;sheet=U0&amp;row=503&amp;col=6&amp;number=4.9&amp;sourceID=14","4.9")</f>
        <v>4.9</v>
      </c>
      <c r="G503" s="4" t="str">
        <f>HYPERLINK("http://141.218.60.56/~jnz1568/getInfo.php?workbook=14_06.xlsx&amp;sheet=U0&amp;row=503&amp;col=7&amp;number=0.00323&amp;sourceID=14","0.00323")</f>
        <v>0.00323</v>
      </c>
    </row>
    <row r="504" spans="1:7">
      <c r="A504" s="3">
        <v>14</v>
      </c>
      <c r="B504" s="3">
        <v>6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HYPERLINK("http://141.218.60.56/~jnz1568/getInfo.php?workbook=14_06.xlsx&amp;sheet=U0&amp;row=504&amp;col=6&amp;number=3&amp;sourceID=14","3")</f>
        <v>3</v>
      </c>
      <c r="G504" s="4" t="str">
        <f>HYPERLINK("http://141.218.60.56/~jnz1568/getInfo.php?workbook=14_06.xlsx&amp;sheet=U0&amp;row=504&amp;col=7&amp;number=0.00594&amp;sourceID=14","0.00594")</f>
        <v>0.00594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HYPERLINK("http://141.218.60.56/~jnz1568/getInfo.php?workbook=14_06.xlsx&amp;sheet=U0&amp;row=505&amp;col=6&amp;number=3.1&amp;sourceID=14","3.1")</f>
        <v>3.1</v>
      </c>
      <c r="G505" s="4" t="str">
        <f>HYPERLINK("http://141.218.60.56/~jnz1568/getInfo.php?workbook=14_06.xlsx&amp;sheet=U0&amp;row=505&amp;col=7&amp;number=0.00594&amp;sourceID=14","0.00594")</f>
        <v>0.00594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HYPERLINK("http://141.218.60.56/~jnz1568/getInfo.php?workbook=14_06.xlsx&amp;sheet=U0&amp;row=506&amp;col=6&amp;number=3.2&amp;sourceID=14","3.2")</f>
        <v>3.2</v>
      </c>
      <c r="G506" s="4" t="str">
        <f>HYPERLINK("http://141.218.60.56/~jnz1568/getInfo.php?workbook=14_06.xlsx&amp;sheet=U0&amp;row=506&amp;col=7&amp;number=0.00594&amp;sourceID=14","0.00594")</f>
        <v>0.00594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HYPERLINK("http://141.218.60.56/~jnz1568/getInfo.php?workbook=14_06.xlsx&amp;sheet=U0&amp;row=507&amp;col=6&amp;number=3.3&amp;sourceID=14","3.3")</f>
        <v>3.3</v>
      </c>
      <c r="G507" s="4" t="str">
        <f>HYPERLINK("http://141.218.60.56/~jnz1568/getInfo.php?workbook=14_06.xlsx&amp;sheet=U0&amp;row=507&amp;col=7&amp;number=0.00594&amp;sourceID=14","0.00594")</f>
        <v>0.00594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HYPERLINK("http://141.218.60.56/~jnz1568/getInfo.php?workbook=14_06.xlsx&amp;sheet=U0&amp;row=508&amp;col=6&amp;number=3.4&amp;sourceID=14","3.4")</f>
        <v>3.4</v>
      </c>
      <c r="G508" s="4" t="str">
        <f>HYPERLINK("http://141.218.60.56/~jnz1568/getInfo.php?workbook=14_06.xlsx&amp;sheet=U0&amp;row=508&amp;col=7&amp;number=0.00594&amp;sourceID=14","0.00594")</f>
        <v>0.00594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HYPERLINK("http://141.218.60.56/~jnz1568/getInfo.php?workbook=14_06.xlsx&amp;sheet=U0&amp;row=509&amp;col=6&amp;number=3.5&amp;sourceID=14","3.5")</f>
        <v>3.5</v>
      </c>
      <c r="G509" s="4" t="str">
        <f>HYPERLINK("http://141.218.60.56/~jnz1568/getInfo.php?workbook=14_06.xlsx&amp;sheet=U0&amp;row=509&amp;col=7&amp;number=0.00594&amp;sourceID=14","0.00594")</f>
        <v>0.00594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HYPERLINK("http://141.218.60.56/~jnz1568/getInfo.php?workbook=14_06.xlsx&amp;sheet=U0&amp;row=510&amp;col=6&amp;number=3.6&amp;sourceID=14","3.6")</f>
        <v>3.6</v>
      </c>
      <c r="G510" s="4" t="str">
        <f>HYPERLINK("http://141.218.60.56/~jnz1568/getInfo.php?workbook=14_06.xlsx&amp;sheet=U0&amp;row=510&amp;col=7&amp;number=0.00594&amp;sourceID=14","0.00594")</f>
        <v>0.00594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HYPERLINK("http://141.218.60.56/~jnz1568/getInfo.php?workbook=14_06.xlsx&amp;sheet=U0&amp;row=511&amp;col=6&amp;number=3.7&amp;sourceID=14","3.7")</f>
        <v>3.7</v>
      </c>
      <c r="G511" s="4" t="str">
        <f>HYPERLINK("http://141.218.60.56/~jnz1568/getInfo.php?workbook=14_06.xlsx&amp;sheet=U0&amp;row=511&amp;col=7&amp;number=0.00594&amp;sourceID=14","0.00594")</f>
        <v>0.00594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HYPERLINK("http://141.218.60.56/~jnz1568/getInfo.php?workbook=14_06.xlsx&amp;sheet=U0&amp;row=512&amp;col=6&amp;number=3.8&amp;sourceID=14","3.8")</f>
        <v>3.8</v>
      </c>
      <c r="G512" s="4" t="str">
        <f>HYPERLINK("http://141.218.60.56/~jnz1568/getInfo.php?workbook=14_06.xlsx&amp;sheet=U0&amp;row=512&amp;col=7&amp;number=0.00594&amp;sourceID=14","0.00594")</f>
        <v>0.00594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HYPERLINK("http://141.218.60.56/~jnz1568/getInfo.php?workbook=14_06.xlsx&amp;sheet=U0&amp;row=513&amp;col=6&amp;number=3.9&amp;sourceID=14","3.9")</f>
        <v>3.9</v>
      </c>
      <c r="G513" s="4" t="str">
        <f>HYPERLINK("http://141.218.60.56/~jnz1568/getInfo.php?workbook=14_06.xlsx&amp;sheet=U0&amp;row=513&amp;col=7&amp;number=0.00594&amp;sourceID=14","0.00594")</f>
        <v>0.00594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HYPERLINK("http://141.218.60.56/~jnz1568/getInfo.php?workbook=14_06.xlsx&amp;sheet=U0&amp;row=514&amp;col=6&amp;number=4&amp;sourceID=14","4")</f>
        <v>4</v>
      </c>
      <c r="G514" s="4" t="str">
        <f>HYPERLINK("http://141.218.60.56/~jnz1568/getInfo.php?workbook=14_06.xlsx&amp;sheet=U0&amp;row=514&amp;col=7&amp;number=0.00594&amp;sourceID=14","0.00594")</f>
        <v>0.00594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HYPERLINK("http://141.218.60.56/~jnz1568/getInfo.php?workbook=14_06.xlsx&amp;sheet=U0&amp;row=515&amp;col=6&amp;number=4.1&amp;sourceID=14","4.1")</f>
        <v>4.1</v>
      </c>
      <c r="G515" s="4" t="str">
        <f>HYPERLINK("http://141.218.60.56/~jnz1568/getInfo.php?workbook=14_06.xlsx&amp;sheet=U0&amp;row=515&amp;col=7&amp;number=0.00595&amp;sourceID=14","0.00595")</f>
        <v>0.00595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HYPERLINK("http://141.218.60.56/~jnz1568/getInfo.php?workbook=14_06.xlsx&amp;sheet=U0&amp;row=516&amp;col=6&amp;number=4.2&amp;sourceID=14","4.2")</f>
        <v>4.2</v>
      </c>
      <c r="G516" s="4" t="str">
        <f>HYPERLINK("http://141.218.60.56/~jnz1568/getInfo.php?workbook=14_06.xlsx&amp;sheet=U0&amp;row=516&amp;col=7&amp;number=0.00595&amp;sourceID=14","0.00595")</f>
        <v>0.00595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HYPERLINK("http://141.218.60.56/~jnz1568/getInfo.php?workbook=14_06.xlsx&amp;sheet=U0&amp;row=517&amp;col=6&amp;number=4.3&amp;sourceID=14","4.3")</f>
        <v>4.3</v>
      </c>
      <c r="G517" s="4" t="str">
        <f>HYPERLINK("http://141.218.60.56/~jnz1568/getInfo.php?workbook=14_06.xlsx&amp;sheet=U0&amp;row=517&amp;col=7&amp;number=0.00595&amp;sourceID=14","0.00595")</f>
        <v>0.00595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HYPERLINK("http://141.218.60.56/~jnz1568/getInfo.php?workbook=14_06.xlsx&amp;sheet=U0&amp;row=518&amp;col=6&amp;number=4.4&amp;sourceID=14","4.4")</f>
        <v>4.4</v>
      </c>
      <c r="G518" s="4" t="str">
        <f>HYPERLINK("http://141.218.60.56/~jnz1568/getInfo.php?workbook=14_06.xlsx&amp;sheet=U0&amp;row=518&amp;col=7&amp;number=0.00595&amp;sourceID=14","0.00595")</f>
        <v>0.00595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HYPERLINK("http://141.218.60.56/~jnz1568/getInfo.php?workbook=14_06.xlsx&amp;sheet=U0&amp;row=519&amp;col=6&amp;number=4.5&amp;sourceID=14","4.5")</f>
        <v>4.5</v>
      </c>
      <c r="G519" s="4" t="str">
        <f>HYPERLINK("http://141.218.60.56/~jnz1568/getInfo.php?workbook=14_06.xlsx&amp;sheet=U0&amp;row=519&amp;col=7&amp;number=0.00595&amp;sourceID=14","0.00595")</f>
        <v>0.00595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HYPERLINK("http://141.218.60.56/~jnz1568/getInfo.php?workbook=14_06.xlsx&amp;sheet=U0&amp;row=520&amp;col=6&amp;number=4.6&amp;sourceID=14","4.6")</f>
        <v>4.6</v>
      </c>
      <c r="G520" s="4" t="str">
        <f>HYPERLINK("http://141.218.60.56/~jnz1568/getInfo.php?workbook=14_06.xlsx&amp;sheet=U0&amp;row=520&amp;col=7&amp;number=0.00596&amp;sourceID=14","0.00596")</f>
        <v>0.00596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HYPERLINK("http://141.218.60.56/~jnz1568/getInfo.php?workbook=14_06.xlsx&amp;sheet=U0&amp;row=521&amp;col=6&amp;number=4.7&amp;sourceID=14","4.7")</f>
        <v>4.7</v>
      </c>
      <c r="G521" s="4" t="str">
        <f>HYPERLINK("http://141.218.60.56/~jnz1568/getInfo.php?workbook=14_06.xlsx&amp;sheet=U0&amp;row=521&amp;col=7&amp;number=0.00596&amp;sourceID=14","0.00596")</f>
        <v>0.00596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HYPERLINK("http://141.218.60.56/~jnz1568/getInfo.php?workbook=14_06.xlsx&amp;sheet=U0&amp;row=522&amp;col=6&amp;number=4.8&amp;sourceID=14","4.8")</f>
        <v>4.8</v>
      </c>
      <c r="G522" s="4" t="str">
        <f>HYPERLINK("http://141.218.60.56/~jnz1568/getInfo.php?workbook=14_06.xlsx&amp;sheet=U0&amp;row=522&amp;col=7&amp;number=0.00597&amp;sourceID=14","0.00597")</f>
        <v>0.00597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HYPERLINK("http://141.218.60.56/~jnz1568/getInfo.php?workbook=14_06.xlsx&amp;sheet=U0&amp;row=523&amp;col=6&amp;number=4.9&amp;sourceID=14","4.9")</f>
        <v>4.9</v>
      </c>
      <c r="G523" s="4" t="str">
        <f>HYPERLINK("http://141.218.60.56/~jnz1568/getInfo.php?workbook=14_06.xlsx&amp;sheet=U0&amp;row=523&amp;col=7&amp;number=0.00598&amp;sourceID=14","0.00598")</f>
        <v>0.00598</v>
      </c>
    </row>
    <row r="524" spans="1:7">
      <c r="A524" s="3">
        <v>14</v>
      </c>
      <c r="B524" s="3">
        <v>6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HYPERLINK("http://141.218.60.56/~jnz1568/getInfo.php?workbook=14_06.xlsx&amp;sheet=U0&amp;row=524&amp;col=6&amp;number=3&amp;sourceID=14","3")</f>
        <v>3</v>
      </c>
      <c r="G524" s="4" t="str">
        <f>HYPERLINK("http://141.218.60.56/~jnz1568/getInfo.php?workbook=14_06.xlsx&amp;sheet=U0&amp;row=524&amp;col=7&amp;number=0.00256&amp;sourceID=14","0.00256")</f>
        <v>0.00256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HYPERLINK("http://141.218.60.56/~jnz1568/getInfo.php?workbook=14_06.xlsx&amp;sheet=U0&amp;row=525&amp;col=6&amp;number=3.1&amp;sourceID=14","3.1")</f>
        <v>3.1</v>
      </c>
      <c r="G525" s="4" t="str">
        <f>HYPERLINK("http://141.218.60.56/~jnz1568/getInfo.php?workbook=14_06.xlsx&amp;sheet=U0&amp;row=525&amp;col=7&amp;number=0.00256&amp;sourceID=14","0.00256")</f>
        <v>0.00256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HYPERLINK("http://141.218.60.56/~jnz1568/getInfo.php?workbook=14_06.xlsx&amp;sheet=U0&amp;row=526&amp;col=6&amp;number=3.2&amp;sourceID=14","3.2")</f>
        <v>3.2</v>
      </c>
      <c r="G526" s="4" t="str">
        <f>HYPERLINK("http://141.218.60.56/~jnz1568/getInfo.php?workbook=14_06.xlsx&amp;sheet=U0&amp;row=526&amp;col=7&amp;number=0.00256&amp;sourceID=14","0.00256")</f>
        <v>0.00256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HYPERLINK("http://141.218.60.56/~jnz1568/getInfo.php?workbook=14_06.xlsx&amp;sheet=U0&amp;row=527&amp;col=6&amp;number=3.3&amp;sourceID=14","3.3")</f>
        <v>3.3</v>
      </c>
      <c r="G527" s="4" t="str">
        <f>HYPERLINK("http://141.218.60.56/~jnz1568/getInfo.php?workbook=14_06.xlsx&amp;sheet=U0&amp;row=527&amp;col=7&amp;number=0.00256&amp;sourceID=14","0.00256")</f>
        <v>0.00256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HYPERLINK("http://141.218.60.56/~jnz1568/getInfo.php?workbook=14_06.xlsx&amp;sheet=U0&amp;row=528&amp;col=6&amp;number=3.4&amp;sourceID=14","3.4")</f>
        <v>3.4</v>
      </c>
      <c r="G528" s="4" t="str">
        <f>HYPERLINK("http://141.218.60.56/~jnz1568/getInfo.php?workbook=14_06.xlsx&amp;sheet=U0&amp;row=528&amp;col=7&amp;number=0.00256&amp;sourceID=14","0.00256")</f>
        <v>0.00256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HYPERLINK("http://141.218.60.56/~jnz1568/getInfo.php?workbook=14_06.xlsx&amp;sheet=U0&amp;row=529&amp;col=6&amp;number=3.5&amp;sourceID=14","3.5")</f>
        <v>3.5</v>
      </c>
      <c r="G529" s="4" t="str">
        <f>HYPERLINK("http://141.218.60.56/~jnz1568/getInfo.php?workbook=14_06.xlsx&amp;sheet=U0&amp;row=529&amp;col=7&amp;number=0.00256&amp;sourceID=14","0.00256")</f>
        <v>0.00256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HYPERLINK("http://141.218.60.56/~jnz1568/getInfo.php?workbook=14_06.xlsx&amp;sheet=U0&amp;row=530&amp;col=6&amp;number=3.6&amp;sourceID=14","3.6")</f>
        <v>3.6</v>
      </c>
      <c r="G530" s="4" t="str">
        <f>HYPERLINK("http://141.218.60.56/~jnz1568/getInfo.php?workbook=14_06.xlsx&amp;sheet=U0&amp;row=530&amp;col=7&amp;number=0.00256&amp;sourceID=14","0.00256")</f>
        <v>0.00256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HYPERLINK("http://141.218.60.56/~jnz1568/getInfo.php?workbook=14_06.xlsx&amp;sheet=U0&amp;row=531&amp;col=6&amp;number=3.7&amp;sourceID=14","3.7")</f>
        <v>3.7</v>
      </c>
      <c r="G531" s="4" t="str">
        <f>HYPERLINK("http://141.218.60.56/~jnz1568/getInfo.php?workbook=14_06.xlsx&amp;sheet=U0&amp;row=531&amp;col=7&amp;number=0.00256&amp;sourceID=14","0.00256")</f>
        <v>0.00256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HYPERLINK("http://141.218.60.56/~jnz1568/getInfo.php?workbook=14_06.xlsx&amp;sheet=U0&amp;row=532&amp;col=6&amp;number=3.8&amp;sourceID=14","3.8")</f>
        <v>3.8</v>
      </c>
      <c r="G532" s="4" t="str">
        <f>HYPERLINK("http://141.218.60.56/~jnz1568/getInfo.php?workbook=14_06.xlsx&amp;sheet=U0&amp;row=532&amp;col=7&amp;number=0.00256&amp;sourceID=14","0.00256")</f>
        <v>0.00256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HYPERLINK("http://141.218.60.56/~jnz1568/getInfo.php?workbook=14_06.xlsx&amp;sheet=U0&amp;row=533&amp;col=6&amp;number=3.9&amp;sourceID=14","3.9")</f>
        <v>3.9</v>
      </c>
      <c r="G533" s="4" t="str">
        <f>HYPERLINK("http://141.218.60.56/~jnz1568/getInfo.php?workbook=14_06.xlsx&amp;sheet=U0&amp;row=533&amp;col=7&amp;number=0.00256&amp;sourceID=14","0.00256")</f>
        <v>0.00256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HYPERLINK("http://141.218.60.56/~jnz1568/getInfo.php?workbook=14_06.xlsx&amp;sheet=U0&amp;row=534&amp;col=6&amp;number=4&amp;sourceID=14","4")</f>
        <v>4</v>
      </c>
      <c r="G534" s="4" t="str">
        <f>HYPERLINK("http://141.218.60.56/~jnz1568/getInfo.php?workbook=14_06.xlsx&amp;sheet=U0&amp;row=534&amp;col=7&amp;number=0.00256&amp;sourceID=14","0.00256")</f>
        <v>0.00256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HYPERLINK("http://141.218.60.56/~jnz1568/getInfo.php?workbook=14_06.xlsx&amp;sheet=U0&amp;row=535&amp;col=6&amp;number=4.1&amp;sourceID=14","4.1")</f>
        <v>4.1</v>
      </c>
      <c r="G535" s="4" t="str">
        <f>HYPERLINK("http://141.218.60.56/~jnz1568/getInfo.php?workbook=14_06.xlsx&amp;sheet=U0&amp;row=535&amp;col=7&amp;number=0.00255&amp;sourceID=14","0.00255")</f>
        <v>0.00255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HYPERLINK("http://141.218.60.56/~jnz1568/getInfo.php?workbook=14_06.xlsx&amp;sheet=U0&amp;row=536&amp;col=6&amp;number=4.2&amp;sourceID=14","4.2")</f>
        <v>4.2</v>
      </c>
      <c r="G536" s="4" t="str">
        <f>HYPERLINK("http://141.218.60.56/~jnz1568/getInfo.php?workbook=14_06.xlsx&amp;sheet=U0&amp;row=536&amp;col=7&amp;number=0.00255&amp;sourceID=14","0.00255")</f>
        <v>0.00255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HYPERLINK("http://141.218.60.56/~jnz1568/getInfo.php?workbook=14_06.xlsx&amp;sheet=U0&amp;row=537&amp;col=6&amp;number=4.3&amp;sourceID=14","4.3")</f>
        <v>4.3</v>
      </c>
      <c r="G537" s="4" t="str">
        <f>HYPERLINK("http://141.218.60.56/~jnz1568/getInfo.php?workbook=14_06.xlsx&amp;sheet=U0&amp;row=537&amp;col=7&amp;number=0.00255&amp;sourceID=14","0.00255")</f>
        <v>0.00255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HYPERLINK("http://141.218.60.56/~jnz1568/getInfo.php?workbook=14_06.xlsx&amp;sheet=U0&amp;row=538&amp;col=6&amp;number=4.4&amp;sourceID=14","4.4")</f>
        <v>4.4</v>
      </c>
      <c r="G538" s="4" t="str">
        <f>HYPERLINK("http://141.218.60.56/~jnz1568/getInfo.php?workbook=14_06.xlsx&amp;sheet=U0&amp;row=538&amp;col=7&amp;number=0.00254&amp;sourceID=14","0.00254")</f>
        <v>0.00254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HYPERLINK("http://141.218.60.56/~jnz1568/getInfo.php?workbook=14_06.xlsx&amp;sheet=U0&amp;row=539&amp;col=6&amp;number=4.5&amp;sourceID=14","4.5")</f>
        <v>4.5</v>
      </c>
      <c r="G539" s="4" t="str">
        <f>HYPERLINK("http://141.218.60.56/~jnz1568/getInfo.php?workbook=14_06.xlsx&amp;sheet=U0&amp;row=539&amp;col=7&amp;number=0.00254&amp;sourceID=14","0.00254")</f>
        <v>0.00254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HYPERLINK("http://141.218.60.56/~jnz1568/getInfo.php?workbook=14_06.xlsx&amp;sheet=U0&amp;row=540&amp;col=6&amp;number=4.6&amp;sourceID=14","4.6")</f>
        <v>4.6</v>
      </c>
      <c r="G540" s="4" t="str">
        <f>HYPERLINK("http://141.218.60.56/~jnz1568/getInfo.php?workbook=14_06.xlsx&amp;sheet=U0&amp;row=540&amp;col=7&amp;number=0.00253&amp;sourceID=14","0.00253")</f>
        <v>0.00253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HYPERLINK("http://141.218.60.56/~jnz1568/getInfo.php?workbook=14_06.xlsx&amp;sheet=U0&amp;row=541&amp;col=6&amp;number=4.7&amp;sourceID=14","4.7")</f>
        <v>4.7</v>
      </c>
      <c r="G541" s="4" t="str">
        <f>HYPERLINK("http://141.218.60.56/~jnz1568/getInfo.php?workbook=14_06.xlsx&amp;sheet=U0&amp;row=541&amp;col=7&amp;number=0.00252&amp;sourceID=14","0.00252")</f>
        <v>0.00252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HYPERLINK("http://141.218.60.56/~jnz1568/getInfo.php?workbook=14_06.xlsx&amp;sheet=U0&amp;row=542&amp;col=6&amp;number=4.8&amp;sourceID=14","4.8")</f>
        <v>4.8</v>
      </c>
      <c r="G542" s="4" t="str">
        <f>HYPERLINK("http://141.218.60.56/~jnz1568/getInfo.php?workbook=14_06.xlsx&amp;sheet=U0&amp;row=542&amp;col=7&amp;number=0.00251&amp;sourceID=14","0.00251")</f>
        <v>0.00251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HYPERLINK("http://141.218.60.56/~jnz1568/getInfo.php?workbook=14_06.xlsx&amp;sheet=U0&amp;row=543&amp;col=6&amp;number=4.9&amp;sourceID=14","4.9")</f>
        <v>4.9</v>
      </c>
      <c r="G543" s="4" t="str">
        <f>HYPERLINK("http://141.218.60.56/~jnz1568/getInfo.php?workbook=14_06.xlsx&amp;sheet=U0&amp;row=543&amp;col=7&amp;number=0.0025&amp;sourceID=14","0.0025")</f>
        <v>0.0025</v>
      </c>
    </row>
    <row r="544" spans="1:7">
      <c r="A544" s="3">
        <v>14</v>
      </c>
      <c r="B544" s="3">
        <v>6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HYPERLINK("http://141.218.60.56/~jnz1568/getInfo.php?workbook=14_06.xlsx&amp;sheet=U0&amp;row=544&amp;col=6&amp;number=3&amp;sourceID=14","3")</f>
        <v>3</v>
      </c>
      <c r="G544" s="4" t="str">
        <f>HYPERLINK("http://141.218.60.56/~jnz1568/getInfo.php?workbook=14_06.xlsx&amp;sheet=U0&amp;row=544&amp;col=7&amp;number=0.00191&amp;sourceID=14","0.00191")</f>
        <v>0.00191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HYPERLINK("http://141.218.60.56/~jnz1568/getInfo.php?workbook=14_06.xlsx&amp;sheet=U0&amp;row=545&amp;col=6&amp;number=3.1&amp;sourceID=14","3.1")</f>
        <v>3.1</v>
      </c>
      <c r="G545" s="4" t="str">
        <f>HYPERLINK("http://141.218.60.56/~jnz1568/getInfo.php?workbook=14_06.xlsx&amp;sheet=U0&amp;row=545&amp;col=7&amp;number=0.00191&amp;sourceID=14","0.00191")</f>
        <v>0.00191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HYPERLINK("http://141.218.60.56/~jnz1568/getInfo.php?workbook=14_06.xlsx&amp;sheet=U0&amp;row=546&amp;col=6&amp;number=3.2&amp;sourceID=14","3.2")</f>
        <v>3.2</v>
      </c>
      <c r="G546" s="4" t="str">
        <f>HYPERLINK("http://141.218.60.56/~jnz1568/getInfo.php?workbook=14_06.xlsx&amp;sheet=U0&amp;row=546&amp;col=7&amp;number=0.00191&amp;sourceID=14","0.00191")</f>
        <v>0.00191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HYPERLINK("http://141.218.60.56/~jnz1568/getInfo.php?workbook=14_06.xlsx&amp;sheet=U0&amp;row=547&amp;col=6&amp;number=3.3&amp;sourceID=14","3.3")</f>
        <v>3.3</v>
      </c>
      <c r="G547" s="4" t="str">
        <f>HYPERLINK("http://141.218.60.56/~jnz1568/getInfo.php?workbook=14_06.xlsx&amp;sheet=U0&amp;row=547&amp;col=7&amp;number=0.00191&amp;sourceID=14","0.00191")</f>
        <v>0.00191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HYPERLINK("http://141.218.60.56/~jnz1568/getInfo.php?workbook=14_06.xlsx&amp;sheet=U0&amp;row=548&amp;col=6&amp;number=3.4&amp;sourceID=14","3.4")</f>
        <v>3.4</v>
      </c>
      <c r="G548" s="4" t="str">
        <f>HYPERLINK("http://141.218.60.56/~jnz1568/getInfo.php?workbook=14_06.xlsx&amp;sheet=U0&amp;row=548&amp;col=7&amp;number=0.00191&amp;sourceID=14","0.00191")</f>
        <v>0.00191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HYPERLINK("http://141.218.60.56/~jnz1568/getInfo.php?workbook=14_06.xlsx&amp;sheet=U0&amp;row=549&amp;col=6&amp;number=3.5&amp;sourceID=14","3.5")</f>
        <v>3.5</v>
      </c>
      <c r="G549" s="4" t="str">
        <f>HYPERLINK("http://141.218.60.56/~jnz1568/getInfo.php?workbook=14_06.xlsx&amp;sheet=U0&amp;row=549&amp;col=7&amp;number=0.00191&amp;sourceID=14","0.00191")</f>
        <v>0.00191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HYPERLINK("http://141.218.60.56/~jnz1568/getInfo.php?workbook=14_06.xlsx&amp;sheet=U0&amp;row=550&amp;col=6&amp;number=3.6&amp;sourceID=14","3.6")</f>
        <v>3.6</v>
      </c>
      <c r="G550" s="4" t="str">
        <f>HYPERLINK("http://141.218.60.56/~jnz1568/getInfo.php?workbook=14_06.xlsx&amp;sheet=U0&amp;row=550&amp;col=7&amp;number=0.00191&amp;sourceID=14","0.00191")</f>
        <v>0.00191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HYPERLINK("http://141.218.60.56/~jnz1568/getInfo.php?workbook=14_06.xlsx&amp;sheet=U0&amp;row=551&amp;col=6&amp;number=3.7&amp;sourceID=14","3.7")</f>
        <v>3.7</v>
      </c>
      <c r="G551" s="4" t="str">
        <f>HYPERLINK("http://141.218.60.56/~jnz1568/getInfo.php?workbook=14_06.xlsx&amp;sheet=U0&amp;row=551&amp;col=7&amp;number=0.00191&amp;sourceID=14","0.00191")</f>
        <v>0.00191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HYPERLINK("http://141.218.60.56/~jnz1568/getInfo.php?workbook=14_06.xlsx&amp;sheet=U0&amp;row=552&amp;col=6&amp;number=3.8&amp;sourceID=14","3.8")</f>
        <v>3.8</v>
      </c>
      <c r="G552" s="4" t="str">
        <f>HYPERLINK("http://141.218.60.56/~jnz1568/getInfo.php?workbook=14_06.xlsx&amp;sheet=U0&amp;row=552&amp;col=7&amp;number=0.00191&amp;sourceID=14","0.00191")</f>
        <v>0.00191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HYPERLINK("http://141.218.60.56/~jnz1568/getInfo.php?workbook=14_06.xlsx&amp;sheet=U0&amp;row=553&amp;col=6&amp;number=3.9&amp;sourceID=14","3.9")</f>
        <v>3.9</v>
      </c>
      <c r="G553" s="4" t="str">
        <f>HYPERLINK("http://141.218.60.56/~jnz1568/getInfo.php?workbook=14_06.xlsx&amp;sheet=U0&amp;row=553&amp;col=7&amp;number=0.0019&amp;sourceID=14","0.0019")</f>
        <v>0.0019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HYPERLINK("http://141.218.60.56/~jnz1568/getInfo.php?workbook=14_06.xlsx&amp;sheet=U0&amp;row=554&amp;col=6&amp;number=4&amp;sourceID=14","4")</f>
        <v>4</v>
      </c>
      <c r="G554" s="4" t="str">
        <f>HYPERLINK("http://141.218.60.56/~jnz1568/getInfo.php?workbook=14_06.xlsx&amp;sheet=U0&amp;row=554&amp;col=7&amp;number=0.0019&amp;sourceID=14","0.0019")</f>
        <v>0.0019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HYPERLINK("http://141.218.60.56/~jnz1568/getInfo.php?workbook=14_06.xlsx&amp;sheet=U0&amp;row=555&amp;col=6&amp;number=4.1&amp;sourceID=14","4.1")</f>
        <v>4.1</v>
      </c>
      <c r="G555" s="4" t="str">
        <f>HYPERLINK("http://141.218.60.56/~jnz1568/getInfo.php?workbook=14_06.xlsx&amp;sheet=U0&amp;row=555&amp;col=7&amp;number=0.0019&amp;sourceID=14","0.0019")</f>
        <v>0.0019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HYPERLINK("http://141.218.60.56/~jnz1568/getInfo.php?workbook=14_06.xlsx&amp;sheet=U0&amp;row=556&amp;col=6&amp;number=4.2&amp;sourceID=14","4.2")</f>
        <v>4.2</v>
      </c>
      <c r="G556" s="4" t="str">
        <f>HYPERLINK("http://141.218.60.56/~jnz1568/getInfo.php?workbook=14_06.xlsx&amp;sheet=U0&amp;row=556&amp;col=7&amp;number=0.0019&amp;sourceID=14","0.0019")</f>
        <v>0.0019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HYPERLINK("http://141.218.60.56/~jnz1568/getInfo.php?workbook=14_06.xlsx&amp;sheet=U0&amp;row=557&amp;col=6&amp;number=4.3&amp;sourceID=14","4.3")</f>
        <v>4.3</v>
      </c>
      <c r="G557" s="4" t="str">
        <f>HYPERLINK("http://141.218.60.56/~jnz1568/getInfo.php?workbook=14_06.xlsx&amp;sheet=U0&amp;row=557&amp;col=7&amp;number=0.0019&amp;sourceID=14","0.0019")</f>
        <v>0.0019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HYPERLINK("http://141.218.60.56/~jnz1568/getInfo.php?workbook=14_06.xlsx&amp;sheet=U0&amp;row=558&amp;col=6&amp;number=4.4&amp;sourceID=14","4.4")</f>
        <v>4.4</v>
      </c>
      <c r="G558" s="4" t="str">
        <f>HYPERLINK("http://141.218.60.56/~jnz1568/getInfo.php?workbook=14_06.xlsx&amp;sheet=U0&amp;row=558&amp;col=7&amp;number=0.00189&amp;sourceID=14","0.00189")</f>
        <v>0.00189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HYPERLINK("http://141.218.60.56/~jnz1568/getInfo.php?workbook=14_06.xlsx&amp;sheet=U0&amp;row=559&amp;col=6&amp;number=4.5&amp;sourceID=14","4.5")</f>
        <v>4.5</v>
      </c>
      <c r="G559" s="4" t="str">
        <f>HYPERLINK("http://141.218.60.56/~jnz1568/getInfo.php?workbook=14_06.xlsx&amp;sheet=U0&amp;row=559&amp;col=7&amp;number=0.00189&amp;sourceID=14","0.00189")</f>
        <v>0.00189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HYPERLINK("http://141.218.60.56/~jnz1568/getInfo.php?workbook=14_06.xlsx&amp;sheet=U0&amp;row=560&amp;col=6&amp;number=4.6&amp;sourceID=14","4.6")</f>
        <v>4.6</v>
      </c>
      <c r="G560" s="4" t="str">
        <f>HYPERLINK("http://141.218.60.56/~jnz1568/getInfo.php?workbook=14_06.xlsx&amp;sheet=U0&amp;row=560&amp;col=7&amp;number=0.00188&amp;sourceID=14","0.00188")</f>
        <v>0.00188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HYPERLINK("http://141.218.60.56/~jnz1568/getInfo.php?workbook=14_06.xlsx&amp;sheet=U0&amp;row=561&amp;col=6&amp;number=4.7&amp;sourceID=14","4.7")</f>
        <v>4.7</v>
      </c>
      <c r="G561" s="4" t="str">
        <f>HYPERLINK("http://141.218.60.56/~jnz1568/getInfo.php?workbook=14_06.xlsx&amp;sheet=U0&amp;row=561&amp;col=7&amp;number=0.00187&amp;sourceID=14","0.00187")</f>
        <v>0.00187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HYPERLINK("http://141.218.60.56/~jnz1568/getInfo.php?workbook=14_06.xlsx&amp;sheet=U0&amp;row=562&amp;col=6&amp;number=4.8&amp;sourceID=14","4.8")</f>
        <v>4.8</v>
      </c>
      <c r="G562" s="4" t="str">
        <f>HYPERLINK("http://141.218.60.56/~jnz1568/getInfo.php?workbook=14_06.xlsx&amp;sheet=U0&amp;row=562&amp;col=7&amp;number=0.00186&amp;sourceID=14","0.00186")</f>
        <v>0.00186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HYPERLINK("http://141.218.60.56/~jnz1568/getInfo.php?workbook=14_06.xlsx&amp;sheet=U0&amp;row=563&amp;col=6&amp;number=4.9&amp;sourceID=14","4.9")</f>
        <v>4.9</v>
      </c>
      <c r="G563" s="4" t="str">
        <f>HYPERLINK("http://141.218.60.56/~jnz1568/getInfo.php?workbook=14_06.xlsx&amp;sheet=U0&amp;row=563&amp;col=7&amp;number=0.00185&amp;sourceID=14","0.00185")</f>
        <v>0.00185</v>
      </c>
    </row>
    <row r="564" spans="1:7">
      <c r="A564" s="3">
        <v>14</v>
      </c>
      <c r="B564" s="3">
        <v>6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HYPERLINK("http://141.218.60.56/~jnz1568/getInfo.php?workbook=14_06.xlsx&amp;sheet=U0&amp;row=564&amp;col=6&amp;number=3&amp;sourceID=14","3")</f>
        <v>3</v>
      </c>
      <c r="G564" s="4" t="str">
        <f>HYPERLINK("http://141.218.60.56/~jnz1568/getInfo.php?workbook=14_06.xlsx&amp;sheet=U0&amp;row=564&amp;col=7&amp;number=0.0519&amp;sourceID=14","0.0519")</f>
        <v>0.0519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HYPERLINK("http://141.218.60.56/~jnz1568/getInfo.php?workbook=14_06.xlsx&amp;sheet=U0&amp;row=565&amp;col=6&amp;number=3.1&amp;sourceID=14","3.1")</f>
        <v>3.1</v>
      </c>
      <c r="G565" s="4" t="str">
        <f>HYPERLINK("http://141.218.60.56/~jnz1568/getInfo.php?workbook=14_06.xlsx&amp;sheet=U0&amp;row=565&amp;col=7&amp;number=0.0519&amp;sourceID=14","0.0519")</f>
        <v>0.0519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HYPERLINK("http://141.218.60.56/~jnz1568/getInfo.php?workbook=14_06.xlsx&amp;sheet=U0&amp;row=566&amp;col=6&amp;number=3.2&amp;sourceID=14","3.2")</f>
        <v>3.2</v>
      </c>
      <c r="G566" s="4" t="str">
        <f>HYPERLINK("http://141.218.60.56/~jnz1568/getInfo.php?workbook=14_06.xlsx&amp;sheet=U0&amp;row=566&amp;col=7&amp;number=0.0519&amp;sourceID=14","0.0519")</f>
        <v>0.0519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HYPERLINK("http://141.218.60.56/~jnz1568/getInfo.php?workbook=14_06.xlsx&amp;sheet=U0&amp;row=567&amp;col=6&amp;number=3.3&amp;sourceID=14","3.3")</f>
        <v>3.3</v>
      </c>
      <c r="G567" s="4" t="str">
        <f>HYPERLINK("http://141.218.60.56/~jnz1568/getInfo.php?workbook=14_06.xlsx&amp;sheet=U0&amp;row=567&amp;col=7&amp;number=0.0519&amp;sourceID=14","0.0519")</f>
        <v>0.0519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HYPERLINK("http://141.218.60.56/~jnz1568/getInfo.php?workbook=14_06.xlsx&amp;sheet=U0&amp;row=568&amp;col=6&amp;number=3.4&amp;sourceID=14","3.4")</f>
        <v>3.4</v>
      </c>
      <c r="G568" s="4" t="str">
        <f>HYPERLINK("http://141.218.60.56/~jnz1568/getInfo.php?workbook=14_06.xlsx&amp;sheet=U0&amp;row=568&amp;col=7&amp;number=0.0519&amp;sourceID=14","0.0519")</f>
        <v>0.0519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HYPERLINK("http://141.218.60.56/~jnz1568/getInfo.php?workbook=14_06.xlsx&amp;sheet=U0&amp;row=569&amp;col=6&amp;number=3.5&amp;sourceID=14","3.5")</f>
        <v>3.5</v>
      </c>
      <c r="G569" s="4" t="str">
        <f>HYPERLINK("http://141.218.60.56/~jnz1568/getInfo.php?workbook=14_06.xlsx&amp;sheet=U0&amp;row=569&amp;col=7&amp;number=0.0519&amp;sourceID=14","0.0519")</f>
        <v>0.0519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HYPERLINK("http://141.218.60.56/~jnz1568/getInfo.php?workbook=14_06.xlsx&amp;sheet=U0&amp;row=570&amp;col=6&amp;number=3.6&amp;sourceID=14","3.6")</f>
        <v>3.6</v>
      </c>
      <c r="G570" s="4" t="str">
        <f>HYPERLINK("http://141.218.60.56/~jnz1568/getInfo.php?workbook=14_06.xlsx&amp;sheet=U0&amp;row=570&amp;col=7&amp;number=0.0519&amp;sourceID=14","0.0519")</f>
        <v>0.0519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HYPERLINK("http://141.218.60.56/~jnz1568/getInfo.php?workbook=14_06.xlsx&amp;sheet=U0&amp;row=571&amp;col=6&amp;number=3.7&amp;sourceID=14","3.7")</f>
        <v>3.7</v>
      </c>
      <c r="G571" s="4" t="str">
        <f>HYPERLINK("http://141.218.60.56/~jnz1568/getInfo.php?workbook=14_06.xlsx&amp;sheet=U0&amp;row=571&amp;col=7&amp;number=0.0519&amp;sourceID=14","0.0519")</f>
        <v>0.0519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HYPERLINK("http://141.218.60.56/~jnz1568/getInfo.php?workbook=14_06.xlsx&amp;sheet=U0&amp;row=572&amp;col=6&amp;number=3.8&amp;sourceID=14","3.8")</f>
        <v>3.8</v>
      </c>
      <c r="G572" s="4" t="str">
        <f>HYPERLINK("http://141.218.60.56/~jnz1568/getInfo.php?workbook=14_06.xlsx&amp;sheet=U0&amp;row=572&amp;col=7&amp;number=0.0519&amp;sourceID=14","0.0519")</f>
        <v>0.0519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HYPERLINK("http://141.218.60.56/~jnz1568/getInfo.php?workbook=14_06.xlsx&amp;sheet=U0&amp;row=573&amp;col=6&amp;number=3.9&amp;sourceID=14","3.9")</f>
        <v>3.9</v>
      </c>
      <c r="G573" s="4" t="str">
        <f>HYPERLINK("http://141.218.60.56/~jnz1568/getInfo.php?workbook=14_06.xlsx&amp;sheet=U0&amp;row=573&amp;col=7&amp;number=0.052&amp;sourceID=14","0.052")</f>
        <v>0.052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HYPERLINK("http://141.218.60.56/~jnz1568/getInfo.php?workbook=14_06.xlsx&amp;sheet=U0&amp;row=574&amp;col=6&amp;number=4&amp;sourceID=14","4")</f>
        <v>4</v>
      </c>
      <c r="G574" s="4" t="str">
        <f>HYPERLINK("http://141.218.60.56/~jnz1568/getInfo.php?workbook=14_06.xlsx&amp;sheet=U0&amp;row=574&amp;col=7&amp;number=0.052&amp;sourceID=14","0.052")</f>
        <v>0.052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HYPERLINK("http://141.218.60.56/~jnz1568/getInfo.php?workbook=14_06.xlsx&amp;sheet=U0&amp;row=575&amp;col=6&amp;number=4.1&amp;sourceID=14","4.1")</f>
        <v>4.1</v>
      </c>
      <c r="G575" s="4" t="str">
        <f>HYPERLINK("http://141.218.60.56/~jnz1568/getInfo.php?workbook=14_06.xlsx&amp;sheet=U0&amp;row=575&amp;col=7&amp;number=0.052&amp;sourceID=14","0.052")</f>
        <v>0.052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HYPERLINK("http://141.218.60.56/~jnz1568/getInfo.php?workbook=14_06.xlsx&amp;sheet=U0&amp;row=576&amp;col=6&amp;number=4.2&amp;sourceID=14","4.2")</f>
        <v>4.2</v>
      </c>
      <c r="G576" s="4" t="str">
        <f>HYPERLINK("http://141.218.60.56/~jnz1568/getInfo.php?workbook=14_06.xlsx&amp;sheet=U0&amp;row=576&amp;col=7&amp;number=0.052&amp;sourceID=14","0.052")</f>
        <v>0.052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HYPERLINK("http://141.218.60.56/~jnz1568/getInfo.php?workbook=14_06.xlsx&amp;sheet=U0&amp;row=577&amp;col=6&amp;number=4.3&amp;sourceID=14","4.3")</f>
        <v>4.3</v>
      </c>
      <c r="G577" s="4" t="str">
        <f>HYPERLINK("http://141.218.60.56/~jnz1568/getInfo.php?workbook=14_06.xlsx&amp;sheet=U0&amp;row=577&amp;col=7&amp;number=0.052&amp;sourceID=14","0.052")</f>
        <v>0.052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HYPERLINK("http://141.218.60.56/~jnz1568/getInfo.php?workbook=14_06.xlsx&amp;sheet=U0&amp;row=578&amp;col=6&amp;number=4.4&amp;sourceID=14","4.4")</f>
        <v>4.4</v>
      </c>
      <c r="G578" s="4" t="str">
        <f>HYPERLINK("http://141.218.60.56/~jnz1568/getInfo.php?workbook=14_06.xlsx&amp;sheet=U0&amp;row=578&amp;col=7&amp;number=0.0521&amp;sourceID=14","0.0521")</f>
        <v>0.0521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HYPERLINK("http://141.218.60.56/~jnz1568/getInfo.php?workbook=14_06.xlsx&amp;sheet=U0&amp;row=579&amp;col=6&amp;number=4.5&amp;sourceID=14","4.5")</f>
        <v>4.5</v>
      </c>
      <c r="G579" s="4" t="str">
        <f>HYPERLINK("http://141.218.60.56/~jnz1568/getInfo.php?workbook=14_06.xlsx&amp;sheet=U0&amp;row=579&amp;col=7&amp;number=0.0521&amp;sourceID=14","0.0521")</f>
        <v>0.0521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HYPERLINK("http://141.218.60.56/~jnz1568/getInfo.php?workbook=14_06.xlsx&amp;sheet=U0&amp;row=580&amp;col=6&amp;number=4.6&amp;sourceID=14","4.6")</f>
        <v>4.6</v>
      </c>
      <c r="G580" s="4" t="str">
        <f>HYPERLINK("http://141.218.60.56/~jnz1568/getInfo.php?workbook=14_06.xlsx&amp;sheet=U0&amp;row=580&amp;col=7&amp;number=0.0521&amp;sourceID=14","0.0521")</f>
        <v>0.0521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HYPERLINK("http://141.218.60.56/~jnz1568/getInfo.php?workbook=14_06.xlsx&amp;sheet=U0&amp;row=581&amp;col=6&amp;number=4.7&amp;sourceID=14","4.7")</f>
        <v>4.7</v>
      </c>
      <c r="G581" s="4" t="str">
        <f>HYPERLINK("http://141.218.60.56/~jnz1568/getInfo.php?workbook=14_06.xlsx&amp;sheet=U0&amp;row=581&amp;col=7&amp;number=0.0522&amp;sourceID=14","0.0522")</f>
        <v>0.0522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HYPERLINK("http://141.218.60.56/~jnz1568/getInfo.php?workbook=14_06.xlsx&amp;sheet=U0&amp;row=582&amp;col=6&amp;number=4.8&amp;sourceID=14","4.8")</f>
        <v>4.8</v>
      </c>
      <c r="G582" s="4" t="str">
        <f>HYPERLINK("http://141.218.60.56/~jnz1568/getInfo.php?workbook=14_06.xlsx&amp;sheet=U0&amp;row=582&amp;col=7&amp;number=0.0523&amp;sourceID=14","0.0523")</f>
        <v>0.0523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HYPERLINK("http://141.218.60.56/~jnz1568/getInfo.php?workbook=14_06.xlsx&amp;sheet=U0&amp;row=583&amp;col=6&amp;number=4.9&amp;sourceID=14","4.9")</f>
        <v>4.9</v>
      </c>
      <c r="G583" s="4" t="str">
        <f>HYPERLINK("http://141.218.60.56/~jnz1568/getInfo.php?workbook=14_06.xlsx&amp;sheet=U0&amp;row=583&amp;col=7&amp;number=0.0524&amp;sourceID=14","0.0524")</f>
        <v>0.0524</v>
      </c>
    </row>
    <row r="584" spans="1:7">
      <c r="A584" s="3">
        <v>14</v>
      </c>
      <c r="B584" s="3">
        <v>6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HYPERLINK("http://141.218.60.56/~jnz1568/getInfo.php?workbook=14_06.xlsx&amp;sheet=U0&amp;row=584&amp;col=6&amp;number=3&amp;sourceID=14","3")</f>
        <v>3</v>
      </c>
      <c r="G584" s="4" t="str">
        <f>HYPERLINK("http://141.218.60.56/~jnz1568/getInfo.php?workbook=14_06.xlsx&amp;sheet=U0&amp;row=584&amp;col=7&amp;number=0.0054&amp;sourceID=14","0.0054")</f>
        <v>0.0054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HYPERLINK("http://141.218.60.56/~jnz1568/getInfo.php?workbook=14_06.xlsx&amp;sheet=U0&amp;row=585&amp;col=6&amp;number=3.1&amp;sourceID=14","3.1")</f>
        <v>3.1</v>
      </c>
      <c r="G585" s="4" t="str">
        <f>HYPERLINK("http://141.218.60.56/~jnz1568/getInfo.php?workbook=14_06.xlsx&amp;sheet=U0&amp;row=585&amp;col=7&amp;number=0.0054&amp;sourceID=14","0.0054")</f>
        <v>0.0054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HYPERLINK("http://141.218.60.56/~jnz1568/getInfo.php?workbook=14_06.xlsx&amp;sheet=U0&amp;row=586&amp;col=6&amp;number=3.2&amp;sourceID=14","3.2")</f>
        <v>3.2</v>
      </c>
      <c r="G586" s="4" t="str">
        <f>HYPERLINK("http://141.218.60.56/~jnz1568/getInfo.php?workbook=14_06.xlsx&amp;sheet=U0&amp;row=586&amp;col=7&amp;number=0.0054&amp;sourceID=14","0.0054")</f>
        <v>0.0054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HYPERLINK("http://141.218.60.56/~jnz1568/getInfo.php?workbook=14_06.xlsx&amp;sheet=U0&amp;row=587&amp;col=6&amp;number=3.3&amp;sourceID=14","3.3")</f>
        <v>3.3</v>
      </c>
      <c r="G587" s="4" t="str">
        <f>HYPERLINK("http://141.218.60.56/~jnz1568/getInfo.php?workbook=14_06.xlsx&amp;sheet=U0&amp;row=587&amp;col=7&amp;number=0.0054&amp;sourceID=14","0.0054")</f>
        <v>0.0054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HYPERLINK("http://141.218.60.56/~jnz1568/getInfo.php?workbook=14_06.xlsx&amp;sheet=U0&amp;row=588&amp;col=6&amp;number=3.4&amp;sourceID=14","3.4")</f>
        <v>3.4</v>
      </c>
      <c r="G588" s="4" t="str">
        <f>HYPERLINK("http://141.218.60.56/~jnz1568/getInfo.php?workbook=14_06.xlsx&amp;sheet=U0&amp;row=588&amp;col=7&amp;number=0.0054&amp;sourceID=14","0.0054")</f>
        <v>0.0054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HYPERLINK("http://141.218.60.56/~jnz1568/getInfo.php?workbook=14_06.xlsx&amp;sheet=U0&amp;row=589&amp;col=6&amp;number=3.5&amp;sourceID=14","3.5")</f>
        <v>3.5</v>
      </c>
      <c r="G589" s="4" t="str">
        <f>HYPERLINK("http://141.218.60.56/~jnz1568/getInfo.php?workbook=14_06.xlsx&amp;sheet=U0&amp;row=589&amp;col=7&amp;number=0.0054&amp;sourceID=14","0.0054")</f>
        <v>0.0054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HYPERLINK("http://141.218.60.56/~jnz1568/getInfo.php?workbook=14_06.xlsx&amp;sheet=U0&amp;row=590&amp;col=6&amp;number=3.6&amp;sourceID=14","3.6")</f>
        <v>3.6</v>
      </c>
      <c r="G590" s="4" t="str">
        <f>HYPERLINK("http://141.218.60.56/~jnz1568/getInfo.php?workbook=14_06.xlsx&amp;sheet=U0&amp;row=590&amp;col=7&amp;number=0.00539&amp;sourceID=14","0.00539")</f>
        <v>0.00539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HYPERLINK("http://141.218.60.56/~jnz1568/getInfo.php?workbook=14_06.xlsx&amp;sheet=U0&amp;row=591&amp;col=6&amp;number=3.7&amp;sourceID=14","3.7")</f>
        <v>3.7</v>
      </c>
      <c r="G591" s="4" t="str">
        <f>HYPERLINK("http://141.218.60.56/~jnz1568/getInfo.php?workbook=14_06.xlsx&amp;sheet=U0&amp;row=591&amp;col=7&amp;number=0.00539&amp;sourceID=14","0.00539")</f>
        <v>0.00539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HYPERLINK("http://141.218.60.56/~jnz1568/getInfo.php?workbook=14_06.xlsx&amp;sheet=U0&amp;row=592&amp;col=6&amp;number=3.8&amp;sourceID=14","3.8")</f>
        <v>3.8</v>
      </c>
      <c r="G592" s="4" t="str">
        <f>HYPERLINK("http://141.218.60.56/~jnz1568/getInfo.php?workbook=14_06.xlsx&amp;sheet=U0&amp;row=592&amp;col=7&amp;number=0.00539&amp;sourceID=14","0.00539")</f>
        <v>0.00539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HYPERLINK("http://141.218.60.56/~jnz1568/getInfo.php?workbook=14_06.xlsx&amp;sheet=U0&amp;row=593&amp;col=6&amp;number=3.9&amp;sourceID=14","3.9")</f>
        <v>3.9</v>
      </c>
      <c r="G593" s="4" t="str">
        <f>HYPERLINK("http://141.218.60.56/~jnz1568/getInfo.php?workbook=14_06.xlsx&amp;sheet=U0&amp;row=593&amp;col=7&amp;number=0.00539&amp;sourceID=14","0.00539")</f>
        <v>0.00539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HYPERLINK("http://141.218.60.56/~jnz1568/getInfo.php?workbook=14_06.xlsx&amp;sheet=U0&amp;row=594&amp;col=6&amp;number=4&amp;sourceID=14","4")</f>
        <v>4</v>
      </c>
      <c r="G594" s="4" t="str">
        <f>HYPERLINK("http://141.218.60.56/~jnz1568/getInfo.php?workbook=14_06.xlsx&amp;sheet=U0&amp;row=594&amp;col=7&amp;number=0.00538&amp;sourceID=14","0.00538")</f>
        <v>0.00538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HYPERLINK("http://141.218.60.56/~jnz1568/getInfo.php?workbook=14_06.xlsx&amp;sheet=U0&amp;row=595&amp;col=6&amp;number=4.1&amp;sourceID=14","4.1")</f>
        <v>4.1</v>
      </c>
      <c r="G595" s="4" t="str">
        <f>HYPERLINK("http://141.218.60.56/~jnz1568/getInfo.php?workbook=14_06.xlsx&amp;sheet=U0&amp;row=595&amp;col=7&amp;number=0.00538&amp;sourceID=14","0.00538")</f>
        <v>0.00538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HYPERLINK("http://141.218.60.56/~jnz1568/getInfo.php?workbook=14_06.xlsx&amp;sheet=U0&amp;row=596&amp;col=6&amp;number=4.2&amp;sourceID=14","4.2")</f>
        <v>4.2</v>
      </c>
      <c r="G596" s="4" t="str">
        <f>HYPERLINK("http://141.218.60.56/~jnz1568/getInfo.php?workbook=14_06.xlsx&amp;sheet=U0&amp;row=596&amp;col=7&amp;number=0.00537&amp;sourceID=14","0.00537")</f>
        <v>0.00537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HYPERLINK("http://141.218.60.56/~jnz1568/getInfo.php?workbook=14_06.xlsx&amp;sheet=U0&amp;row=597&amp;col=6&amp;number=4.3&amp;sourceID=14","4.3")</f>
        <v>4.3</v>
      </c>
      <c r="G597" s="4" t="str">
        <f>HYPERLINK("http://141.218.60.56/~jnz1568/getInfo.php?workbook=14_06.xlsx&amp;sheet=U0&amp;row=597&amp;col=7&amp;number=0.00536&amp;sourceID=14","0.00536")</f>
        <v>0.00536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HYPERLINK("http://141.218.60.56/~jnz1568/getInfo.php?workbook=14_06.xlsx&amp;sheet=U0&amp;row=598&amp;col=6&amp;number=4.4&amp;sourceID=14","4.4")</f>
        <v>4.4</v>
      </c>
      <c r="G598" s="4" t="str">
        <f>HYPERLINK("http://141.218.60.56/~jnz1568/getInfo.php?workbook=14_06.xlsx&amp;sheet=U0&amp;row=598&amp;col=7&amp;number=0.00535&amp;sourceID=14","0.00535")</f>
        <v>0.00535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HYPERLINK("http://141.218.60.56/~jnz1568/getInfo.php?workbook=14_06.xlsx&amp;sheet=U0&amp;row=599&amp;col=6&amp;number=4.5&amp;sourceID=14","4.5")</f>
        <v>4.5</v>
      </c>
      <c r="G599" s="4" t="str">
        <f>HYPERLINK("http://141.218.60.56/~jnz1568/getInfo.php?workbook=14_06.xlsx&amp;sheet=U0&amp;row=599&amp;col=7&amp;number=0.00534&amp;sourceID=14","0.00534")</f>
        <v>0.00534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HYPERLINK("http://141.218.60.56/~jnz1568/getInfo.php?workbook=14_06.xlsx&amp;sheet=U0&amp;row=600&amp;col=6&amp;number=4.6&amp;sourceID=14","4.6")</f>
        <v>4.6</v>
      </c>
      <c r="G600" s="4" t="str">
        <f>HYPERLINK("http://141.218.60.56/~jnz1568/getInfo.php?workbook=14_06.xlsx&amp;sheet=U0&amp;row=600&amp;col=7&amp;number=0.00532&amp;sourceID=14","0.00532")</f>
        <v>0.00532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HYPERLINK("http://141.218.60.56/~jnz1568/getInfo.php?workbook=14_06.xlsx&amp;sheet=U0&amp;row=601&amp;col=6&amp;number=4.7&amp;sourceID=14","4.7")</f>
        <v>4.7</v>
      </c>
      <c r="G601" s="4" t="str">
        <f>HYPERLINK("http://141.218.60.56/~jnz1568/getInfo.php?workbook=14_06.xlsx&amp;sheet=U0&amp;row=601&amp;col=7&amp;number=0.0053&amp;sourceID=14","0.0053")</f>
        <v>0.0053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HYPERLINK("http://141.218.60.56/~jnz1568/getInfo.php?workbook=14_06.xlsx&amp;sheet=U0&amp;row=602&amp;col=6&amp;number=4.8&amp;sourceID=14","4.8")</f>
        <v>4.8</v>
      </c>
      <c r="G602" s="4" t="str">
        <f>HYPERLINK("http://141.218.60.56/~jnz1568/getInfo.php?workbook=14_06.xlsx&amp;sheet=U0&amp;row=602&amp;col=7&amp;number=0.00528&amp;sourceID=14","0.00528")</f>
        <v>0.00528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HYPERLINK("http://141.218.60.56/~jnz1568/getInfo.php?workbook=14_06.xlsx&amp;sheet=U0&amp;row=603&amp;col=6&amp;number=4.9&amp;sourceID=14","4.9")</f>
        <v>4.9</v>
      </c>
      <c r="G603" s="4" t="str">
        <f>HYPERLINK("http://141.218.60.56/~jnz1568/getInfo.php?workbook=14_06.xlsx&amp;sheet=U0&amp;row=603&amp;col=7&amp;number=0.00525&amp;sourceID=14","0.00525")</f>
        <v>0.00525</v>
      </c>
    </row>
    <row r="604" spans="1:7">
      <c r="A604" s="3">
        <v>14</v>
      </c>
      <c r="B604" s="3">
        <v>6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HYPERLINK("http://141.218.60.56/~jnz1568/getInfo.php?workbook=14_06.xlsx&amp;sheet=U0&amp;row=604&amp;col=6&amp;number=3&amp;sourceID=14","3")</f>
        <v>3</v>
      </c>
      <c r="G604" s="4" t="str">
        <f>HYPERLINK("http://141.218.60.56/~jnz1568/getInfo.php?workbook=14_06.xlsx&amp;sheet=U0&amp;row=604&amp;col=7&amp;number=0.00349&amp;sourceID=14","0.00349")</f>
        <v>0.00349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HYPERLINK("http://141.218.60.56/~jnz1568/getInfo.php?workbook=14_06.xlsx&amp;sheet=U0&amp;row=605&amp;col=6&amp;number=3.1&amp;sourceID=14","3.1")</f>
        <v>3.1</v>
      </c>
      <c r="G605" s="4" t="str">
        <f>HYPERLINK("http://141.218.60.56/~jnz1568/getInfo.php?workbook=14_06.xlsx&amp;sheet=U0&amp;row=605&amp;col=7&amp;number=0.00349&amp;sourceID=14","0.00349")</f>
        <v>0.00349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HYPERLINK("http://141.218.60.56/~jnz1568/getInfo.php?workbook=14_06.xlsx&amp;sheet=U0&amp;row=606&amp;col=6&amp;number=3.2&amp;sourceID=14","3.2")</f>
        <v>3.2</v>
      </c>
      <c r="G606" s="4" t="str">
        <f>HYPERLINK("http://141.218.60.56/~jnz1568/getInfo.php?workbook=14_06.xlsx&amp;sheet=U0&amp;row=606&amp;col=7&amp;number=0.00349&amp;sourceID=14","0.00349")</f>
        <v>0.00349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HYPERLINK("http://141.218.60.56/~jnz1568/getInfo.php?workbook=14_06.xlsx&amp;sheet=U0&amp;row=607&amp;col=6&amp;number=3.3&amp;sourceID=14","3.3")</f>
        <v>3.3</v>
      </c>
      <c r="G607" s="4" t="str">
        <f>HYPERLINK("http://141.218.60.56/~jnz1568/getInfo.php?workbook=14_06.xlsx&amp;sheet=U0&amp;row=607&amp;col=7&amp;number=0.00349&amp;sourceID=14","0.00349")</f>
        <v>0.00349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HYPERLINK("http://141.218.60.56/~jnz1568/getInfo.php?workbook=14_06.xlsx&amp;sheet=U0&amp;row=608&amp;col=6&amp;number=3.4&amp;sourceID=14","3.4")</f>
        <v>3.4</v>
      </c>
      <c r="G608" s="4" t="str">
        <f>HYPERLINK("http://141.218.60.56/~jnz1568/getInfo.php?workbook=14_06.xlsx&amp;sheet=U0&amp;row=608&amp;col=7&amp;number=0.00349&amp;sourceID=14","0.00349")</f>
        <v>0.00349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HYPERLINK("http://141.218.60.56/~jnz1568/getInfo.php?workbook=14_06.xlsx&amp;sheet=U0&amp;row=609&amp;col=6&amp;number=3.5&amp;sourceID=14","3.5")</f>
        <v>3.5</v>
      </c>
      <c r="G609" s="4" t="str">
        <f>HYPERLINK("http://141.218.60.56/~jnz1568/getInfo.php?workbook=14_06.xlsx&amp;sheet=U0&amp;row=609&amp;col=7&amp;number=0.00349&amp;sourceID=14","0.00349")</f>
        <v>0.00349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HYPERLINK("http://141.218.60.56/~jnz1568/getInfo.php?workbook=14_06.xlsx&amp;sheet=U0&amp;row=610&amp;col=6&amp;number=3.6&amp;sourceID=14","3.6")</f>
        <v>3.6</v>
      </c>
      <c r="G610" s="4" t="str">
        <f>HYPERLINK("http://141.218.60.56/~jnz1568/getInfo.php?workbook=14_06.xlsx&amp;sheet=U0&amp;row=610&amp;col=7&amp;number=0.00348&amp;sourceID=14","0.00348")</f>
        <v>0.00348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HYPERLINK("http://141.218.60.56/~jnz1568/getInfo.php?workbook=14_06.xlsx&amp;sheet=U0&amp;row=611&amp;col=6&amp;number=3.7&amp;sourceID=14","3.7")</f>
        <v>3.7</v>
      </c>
      <c r="G611" s="4" t="str">
        <f>HYPERLINK("http://141.218.60.56/~jnz1568/getInfo.php?workbook=14_06.xlsx&amp;sheet=U0&amp;row=611&amp;col=7&amp;number=0.00348&amp;sourceID=14","0.00348")</f>
        <v>0.00348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HYPERLINK("http://141.218.60.56/~jnz1568/getInfo.php?workbook=14_06.xlsx&amp;sheet=U0&amp;row=612&amp;col=6&amp;number=3.8&amp;sourceID=14","3.8")</f>
        <v>3.8</v>
      </c>
      <c r="G612" s="4" t="str">
        <f>HYPERLINK("http://141.218.60.56/~jnz1568/getInfo.php?workbook=14_06.xlsx&amp;sheet=U0&amp;row=612&amp;col=7&amp;number=0.00348&amp;sourceID=14","0.00348")</f>
        <v>0.00348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HYPERLINK("http://141.218.60.56/~jnz1568/getInfo.php?workbook=14_06.xlsx&amp;sheet=U0&amp;row=613&amp;col=6&amp;number=3.9&amp;sourceID=14","3.9")</f>
        <v>3.9</v>
      </c>
      <c r="G613" s="4" t="str">
        <f>HYPERLINK("http://141.218.60.56/~jnz1568/getInfo.php?workbook=14_06.xlsx&amp;sheet=U0&amp;row=613&amp;col=7&amp;number=0.00348&amp;sourceID=14","0.00348")</f>
        <v>0.00348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HYPERLINK("http://141.218.60.56/~jnz1568/getInfo.php?workbook=14_06.xlsx&amp;sheet=U0&amp;row=614&amp;col=6&amp;number=4&amp;sourceID=14","4")</f>
        <v>4</v>
      </c>
      <c r="G614" s="4" t="str">
        <f>HYPERLINK("http://141.218.60.56/~jnz1568/getInfo.php?workbook=14_06.xlsx&amp;sheet=U0&amp;row=614&amp;col=7&amp;number=0.00348&amp;sourceID=14","0.00348")</f>
        <v>0.00348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HYPERLINK("http://141.218.60.56/~jnz1568/getInfo.php?workbook=14_06.xlsx&amp;sheet=U0&amp;row=615&amp;col=6&amp;number=4.1&amp;sourceID=14","4.1")</f>
        <v>4.1</v>
      </c>
      <c r="G615" s="4" t="str">
        <f>HYPERLINK("http://141.218.60.56/~jnz1568/getInfo.php?workbook=14_06.xlsx&amp;sheet=U0&amp;row=615&amp;col=7&amp;number=0.00348&amp;sourceID=14","0.00348")</f>
        <v>0.00348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HYPERLINK("http://141.218.60.56/~jnz1568/getInfo.php?workbook=14_06.xlsx&amp;sheet=U0&amp;row=616&amp;col=6&amp;number=4.2&amp;sourceID=14","4.2")</f>
        <v>4.2</v>
      </c>
      <c r="G616" s="4" t="str">
        <f>HYPERLINK("http://141.218.60.56/~jnz1568/getInfo.php?workbook=14_06.xlsx&amp;sheet=U0&amp;row=616&amp;col=7&amp;number=0.00348&amp;sourceID=14","0.00348")</f>
        <v>0.00348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HYPERLINK("http://141.218.60.56/~jnz1568/getInfo.php?workbook=14_06.xlsx&amp;sheet=U0&amp;row=617&amp;col=6&amp;number=4.3&amp;sourceID=14","4.3")</f>
        <v>4.3</v>
      </c>
      <c r="G617" s="4" t="str">
        <f>HYPERLINK("http://141.218.60.56/~jnz1568/getInfo.php?workbook=14_06.xlsx&amp;sheet=U0&amp;row=617&amp;col=7&amp;number=0.00348&amp;sourceID=14","0.00348")</f>
        <v>0.00348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HYPERLINK("http://141.218.60.56/~jnz1568/getInfo.php?workbook=14_06.xlsx&amp;sheet=U0&amp;row=618&amp;col=6&amp;number=4.4&amp;sourceID=14","4.4")</f>
        <v>4.4</v>
      </c>
      <c r="G618" s="4" t="str">
        <f>HYPERLINK("http://141.218.60.56/~jnz1568/getInfo.php?workbook=14_06.xlsx&amp;sheet=U0&amp;row=618&amp;col=7&amp;number=0.00347&amp;sourceID=14","0.00347")</f>
        <v>0.00347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HYPERLINK("http://141.218.60.56/~jnz1568/getInfo.php?workbook=14_06.xlsx&amp;sheet=U0&amp;row=619&amp;col=6&amp;number=4.5&amp;sourceID=14","4.5")</f>
        <v>4.5</v>
      </c>
      <c r="G619" s="4" t="str">
        <f>HYPERLINK("http://141.218.60.56/~jnz1568/getInfo.php?workbook=14_06.xlsx&amp;sheet=U0&amp;row=619&amp;col=7&amp;number=0.00347&amp;sourceID=14","0.00347")</f>
        <v>0.00347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HYPERLINK("http://141.218.60.56/~jnz1568/getInfo.php?workbook=14_06.xlsx&amp;sheet=U0&amp;row=620&amp;col=6&amp;number=4.6&amp;sourceID=14","4.6")</f>
        <v>4.6</v>
      </c>
      <c r="G620" s="4" t="str">
        <f>HYPERLINK("http://141.218.60.56/~jnz1568/getInfo.php?workbook=14_06.xlsx&amp;sheet=U0&amp;row=620&amp;col=7&amp;number=0.00346&amp;sourceID=14","0.00346")</f>
        <v>0.00346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HYPERLINK("http://141.218.60.56/~jnz1568/getInfo.php?workbook=14_06.xlsx&amp;sheet=U0&amp;row=621&amp;col=6&amp;number=4.7&amp;sourceID=14","4.7")</f>
        <v>4.7</v>
      </c>
      <c r="G621" s="4" t="str">
        <f>HYPERLINK("http://141.218.60.56/~jnz1568/getInfo.php?workbook=14_06.xlsx&amp;sheet=U0&amp;row=621&amp;col=7&amp;number=0.00346&amp;sourceID=14","0.00346")</f>
        <v>0.00346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HYPERLINK("http://141.218.60.56/~jnz1568/getInfo.php?workbook=14_06.xlsx&amp;sheet=U0&amp;row=622&amp;col=6&amp;number=4.8&amp;sourceID=14","4.8")</f>
        <v>4.8</v>
      </c>
      <c r="G622" s="4" t="str">
        <f>HYPERLINK("http://141.218.60.56/~jnz1568/getInfo.php?workbook=14_06.xlsx&amp;sheet=U0&amp;row=622&amp;col=7&amp;number=0.00345&amp;sourceID=14","0.00345")</f>
        <v>0.00345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HYPERLINK("http://141.218.60.56/~jnz1568/getInfo.php?workbook=14_06.xlsx&amp;sheet=U0&amp;row=623&amp;col=6&amp;number=4.9&amp;sourceID=14","4.9")</f>
        <v>4.9</v>
      </c>
      <c r="G623" s="4" t="str">
        <f>HYPERLINK("http://141.218.60.56/~jnz1568/getInfo.php?workbook=14_06.xlsx&amp;sheet=U0&amp;row=623&amp;col=7&amp;number=0.00344&amp;sourceID=14","0.00344")</f>
        <v>0.00344</v>
      </c>
    </row>
    <row r="624" spans="1:7">
      <c r="A624" s="3">
        <v>14</v>
      </c>
      <c r="B624" s="3">
        <v>6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HYPERLINK("http://141.218.60.56/~jnz1568/getInfo.php?workbook=14_06.xlsx&amp;sheet=U0&amp;row=624&amp;col=6&amp;number=3&amp;sourceID=14","3")</f>
        <v>3</v>
      </c>
      <c r="G624" s="4" t="str">
        <f>HYPERLINK("http://141.218.60.56/~jnz1568/getInfo.php?workbook=14_06.xlsx&amp;sheet=U0&amp;row=624&amp;col=7&amp;number=0.00399&amp;sourceID=14","0.00399")</f>
        <v>0.00399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HYPERLINK("http://141.218.60.56/~jnz1568/getInfo.php?workbook=14_06.xlsx&amp;sheet=U0&amp;row=625&amp;col=6&amp;number=3.1&amp;sourceID=14","3.1")</f>
        <v>3.1</v>
      </c>
      <c r="G625" s="4" t="str">
        <f>HYPERLINK("http://141.218.60.56/~jnz1568/getInfo.php?workbook=14_06.xlsx&amp;sheet=U0&amp;row=625&amp;col=7&amp;number=0.00399&amp;sourceID=14","0.00399")</f>
        <v>0.00399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HYPERLINK("http://141.218.60.56/~jnz1568/getInfo.php?workbook=14_06.xlsx&amp;sheet=U0&amp;row=626&amp;col=6&amp;number=3.2&amp;sourceID=14","3.2")</f>
        <v>3.2</v>
      </c>
      <c r="G626" s="4" t="str">
        <f>HYPERLINK("http://141.218.60.56/~jnz1568/getInfo.php?workbook=14_06.xlsx&amp;sheet=U0&amp;row=626&amp;col=7&amp;number=0.00399&amp;sourceID=14","0.00399")</f>
        <v>0.00399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HYPERLINK("http://141.218.60.56/~jnz1568/getInfo.php?workbook=14_06.xlsx&amp;sheet=U0&amp;row=627&amp;col=6&amp;number=3.3&amp;sourceID=14","3.3")</f>
        <v>3.3</v>
      </c>
      <c r="G627" s="4" t="str">
        <f>HYPERLINK("http://141.218.60.56/~jnz1568/getInfo.php?workbook=14_06.xlsx&amp;sheet=U0&amp;row=627&amp;col=7&amp;number=0.00399&amp;sourceID=14","0.00399")</f>
        <v>0.00399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HYPERLINK("http://141.218.60.56/~jnz1568/getInfo.php?workbook=14_06.xlsx&amp;sheet=U0&amp;row=628&amp;col=6&amp;number=3.4&amp;sourceID=14","3.4")</f>
        <v>3.4</v>
      </c>
      <c r="G628" s="4" t="str">
        <f>HYPERLINK("http://141.218.60.56/~jnz1568/getInfo.php?workbook=14_06.xlsx&amp;sheet=U0&amp;row=628&amp;col=7&amp;number=0.00399&amp;sourceID=14","0.00399")</f>
        <v>0.00399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HYPERLINK("http://141.218.60.56/~jnz1568/getInfo.php?workbook=14_06.xlsx&amp;sheet=U0&amp;row=629&amp;col=6&amp;number=3.5&amp;sourceID=14","3.5")</f>
        <v>3.5</v>
      </c>
      <c r="G629" s="4" t="str">
        <f>HYPERLINK("http://141.218.60.56/~jnz1568/getInfo.php?workbook=14_06.xlsx&amp;sheet=U0&amp;row=629&amp;col=7&amp;number=0.00399&amp;sourceID=14","0.00399")</f>
        <v>0.00399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HYPERLINK("http://141.218.60.56/~jnz1568/getInfo.php?workbook=14_06.xlsx&amp;sheet=U0&amp;row=630&amp;col=6&amp;number=3.6&amp;sourceID=14","3.6")</f>
        <v>3.6</v>
      </c>
      <c r="G630" s="4" t="str">
        <f>HYPERLINK("http://141.218.60.56/~jnz1568/getInfo.php?workbook=14_06.xlsx&amp;sheet=U0&amp;row=630&amp;col=7&amp;number=0.00399&amp;sourceID=14","0.00399")</f>
        <v>0.00399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HYPERLINK("http://141.218.60.56/~jnz1568/getInfo.php?workbook=14_06.xlsx&amp;sheet=U0&amp;row=631&amp;col=6&amp;number=3.7&amp;sourceID=14","3.7")</f>
        <v>3.7</v>
      </c>
      <c r="G631" s="4" t="str">
        <f>HYPERLINK("http://141.218.60.56/~jnz1568/getInfo.php?workbook=14_06.xlsx&amp;sheet=U0&amp;row=631&amp;col=7&amp;number=0.00399&amp;sourceID=14","0.00399")</f>
        <v>0.00399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HYPERLINK("http://141.218.60.56/~jnz1568/getInfo.php?workbook=14_06.xlsx&amp;sheet=U0&amp;row=632&amp;col=6&amp;number=3.8&amp;sourceID=14","3.8")</f>
        <v>3.8</v>
      </c>
      <c r="G632" s="4" t="str">
        <f>HYPERLINK("http://141.218.60.56/~jnz1568/getInfo.php?workbook=14_06.xlsx&amp;sheet=U0&amp;row=632&amp;col=7&amp;number=0.00399&amp;sourceID=14","0.00399")</f>
        <v>0.00399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HYPERLINK("http://141.218.60.56/~jnz1568/getInfo.php?workbook=14_06.xlsx&amp;sheet=U0&amp;row=633&amp;col=6&amp;number=3.9&amp;sourceID=14","3.9")</f>
        <v>3.9</v>
      </c>
      <c r="G633" s="4" t="str">
        <f>HYPERLINK("http://141.218.60.56/~jnz1568/getInfo.php?workbook=14_06.xlsx&amp;sheet=U0&amp;row=633&amp;col=7&amp;number=0.00398&amp;sourceID=14","0.00398")</f>
        <v>0.00398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HYPERLINK("http://141.218.60.56/~jnz1568/getInfo.php?workbook=14_06.xlsx&amp;sheet=U0&amp;row=634&amp;col=6&amp;number=4&amp;sourceID=14","4")</f>
        <v>4</v>
      </c>
      <c r="G634" s="4" t="str">
        <f>HYPERLINK("http://141.218.60.56/~jnz1568/getInfo.php?workbook=14_06.xlsx&amp;sheet=U0&amp;row=634&amp;col=7&amp;number=0.00398&amp;sourceID=14","0.00398")</f>
        <v>0.00398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HYPERLINK("http://141.218.60.56/~jnz1568/getInfo.php?workbook=14_06.xlsx&amp;sheet=U0&amp;row=635&amp;col=6&amp;number=4.1&amp;sourceID=14","4.1")</f>
        <v>4.1</v>
      </c>
      <c r="G635" s="4" t="str">
        <f>HYPERLINK("http://141.218.60.56/~jnz1568/getInfo.php?workbook=14_06.xlsx&amp;sheet=U0&amp;row=635&amp;col=7&amp;number=0.00398&amp;sourceID=14","0.00398")</f>
        <v>0.00398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HYPERLINK("http://141.218.60.56/~jnz1568/getInfo.php?workbook=14_06.xlsx&amp;sheet=U0&amp;row=636&amp;col=6&amp;number=4.2&amp;sourceID=14","4.2")</f>
        <v>4.2</v>
      </c>
      <c r="G636" s="4" t="str">
        <f>HYPERLINK("http://141.218.60.56/~jnz1568/getInfo.php?workbook=14_06.xlsx&amp;sheet=U0&amp;row=636&amp;col=7&amp;number=0.00397&amp;sourceID=14","0.00397")</f>
        <v>0.00397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HYPERLINK("http://141.218.60.56/~jnz1568/getInfo.php?workbook=14_06.xlsx&amp;sheet=U0&amp;row=637&amp;col=6&amp;number=4.3&amp;sourceID=14","4.3")</f>
        <v>4.3</v>
      </c>
      <c r="G637" s="4" t="str">
        <f>HYPERLINK("http://141.218.60.56/~jnz1568/getInfo.php?workbook=14_06.xlsx&amp;sheet=U0&amp;row=637&amp;col=7&amp;number=0.00397&amp;sourceID=14","0.00397")</f>
        <v>0.00397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HYPERLINK("http://141.218.60.56/~jnz1568/getInfo.php?workbook=14_06.xlsx&amp;sheet=U0&amp;row=638&amp;col=6&amp;number=4.4&amp;sourceID=14","4.4")</f>
        <v>4.4</v>
      </c>
      <c r="G638" s="4" t="str">
        <f>HYPERLINK("http://141.218.60.56/~jnz1568/getInfo.php?workbook=14_06.xlsx&amp;sheet=U0&amp;row=638&amp;col=7&amp;number=0.00396&amp;sourceID=14","0.00396")</f>
        <v>0.00396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HYPERLINK("http://141.218.60.56/~jnz1568/getInfo.php?workbook=14_06.xlsx&amp;sheet=U0&amp;row=639&amp;col=6&amp;number=4.5&amp;sourceID=14","4.5")</f>
        <v>4.5</v>
      </c>
      <c r="G639" s="4" t="str">
        <f>HYPERLINK("http://141.218.60.56/~jnz1568/getInfo.php?workbook=14_06.xlsx&amp;sheet=U0&amp;row=639&amp;col=7&amp;number=0.00395&amp;sourceID=14","0.00395")</f>
        <v>0.00395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HYPERLINK("http://141.218.60.56/~jnz1568/getInfo.php?workbook=14_06.xlsx&amp;sheet=U0&amp;row=640&amp;col=6&amp;number=4.6&amp;sourceID=14","4.6")</f>
        <v>4.6</v>
      </c>
      <c r="G640" s="4" t="str">
        <f>HYPERLINK("http://141.218.60.56/~jnz1568/getInfo.php?workbook=14_06.xlsx&amp;sheet=U0&amp;row=640&amp;col=7&amp;number=0.00394&amp;sourceID=14","0.00394")</f>
        <v>0.00394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HYPERLINK("http://141.218.60.56/~jnz1568/getInfo.php?workbook=14_06.xlsx&amp;sheet=U0&amp;row=641&amp;col=6&amp;number=4.7&amp;sourceID=14","4.7")</f>
        <v>4.7</v>
      </c>
      <c r="G641" s="4" t="str">
        <f>HYPERLINK("http://141.218.60.56/~jnz1568/getInfo.php?workbook=14_06.xlsx&amp;sheet=U0&amp;row=641&amp;col=7&amp;number=0.00392&amp;sourceID=14","0.00392")</f>
        <v>0.00392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HYPERLINK("http://141.218.60.56/~jnz1568/getInfo.php?workbook=14_06.xlsx&amp;sheet=U0&amp;row=642&amp;col=6&amp;number=4.8&amp;sourceID=14","4.8")</f>
        <v>4.8</v>
      </c>
      <c r="G642" s="4" t="str">
        <f>HYPERLINK("http://141.218.60.56/~jnz1568/getInfo.php?workbook=14_06.xlsx&amp;sheet=U0&amp;row=642&amp;col=7&amp;number=0.0039&amp;sourceID=14","0.0039")</f>
        <v>0.0039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HYPERLINK("http://141.218.60.56/~jnz1568/getInfo.php?workbook=14_06.xlsx&amp;sheet=U0&amp;row=643&amp;col=6&amp;number=4.9&amp;sourceID=14","4.9")</f>
        <v>4.9</v>
      </c>
      <c r="G643" s="4" t="str">
        <f>HYPERLINK("http://141.218.60.56/~jnz1568/getInfo.php?workbook=14_06.xlsx&amp;sheet=U0&amp;row=643&amp;col=7&amp;number=0.00388&amp;sourceID=14","0.00388")</f>
        <v>0.00388</v>
      </c>
    </row>
    <row r="644" spans="1:7">
      <c r="A644" s="3">
        <v>14</v>
      </c>
      <c r="B644" s="3">
        <v>6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HYPERLINK("http://141.218.60.56/~jnz1568/getInfo.php?workbook=14_06.xlsx&amp;sheet=U0&amp;row=644&amp;col=6&amp;number=3&amp;sourceID=14","3")</f>
        <v>3</v>
      </c>
      <c r="G644" s="4" t="str">
        <f>HYPERLINK("http://141.218.60.56/~jnz1568/getInfo.php?workbook=14_06.xlsx&amp;sheet=U0&amp;row=644&amp;col=7&amp;number=0.000697&amp;sourceID=14","0.000697")</f>
        <v>0.000697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HYPERLINK("http://141.218.60.56/~jnz1568/getInfo.php?workbook=14_06.xlsx&amp;sheet=U0&amp;row=645&amp;col=6&amp;number=3.1&amp;sourceID=14","3.1")</f>
        <v>3.1</v>
      </c>
      <c r="G645" s="4" t="str">
        <f>HYPERLINK("http://141.218.60.56/~jnz1568/getInfo.php?workbook=14_06.xlsx&amp;sheet=U0&amp;row=645&amp;col=7&amp;number=0.000697&amp;sourceID=14","0.000697")</f>
        <v>0.000697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HYPERLINK("http://141.218.60.56/~jnz1568/getInfo.php?workbook=14_06.xlsx&amp;sheet=U0&amp;row=646&amp;col=6&amp;number=3.2&amp;sourceID=14","3.2")</f>
        <v>3.2</v>
      </c>
      <c r="G646" s="4" t="str">
        <f>HYPERLINK("http://141.218.60.56/~jnz1568/getInfo.php?workbook=14_06.xlsx&amp;sheet=U0&amp;row=646&amp;col=7&amp;number=0.000697&amp;sourceID=14","0.000697")</f>
        <v>0.000697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HYPERLINK("http://141.218.60.56/~jnz1568/getInfo.php?workbook=14_06.xlsx&amp;sheet=U0&amp;row=647&amp;col=6&amp;number=3.3&amp;sourceID=14","3.3")</f>
        <v>3.3</v>
      </c>
      <c r="G647" s="4" t="str">
        <f>HYPERLINK("http://141.218.60.56/~jnz1568/getInfo.php?workbook=14_06.xlsx&amp;sheet=U0&amp;row=647&amp;col=7&amp;number=0.000697&amp;sourceID=14","0.000697")</f>
        <v>0.000697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HYPERLINK("http://141.218.60.56/~jnz1568/getInfo.php?workbook=14_06.xlsx&amp;sheet=U0&amp;row=648&amp;col=6&amp;number=3.4&amp;sourceID=14","3.4")</f>
        <v>3.4</v>
      </c>
      <c r="G648" s="4" t="str">
        <f>HYPERLINK("http://141.218.60.56/~jnz1568/getInfo.php?workbook=14_06.xlsx&amp;sheet=U0&amp;row=648&amp;col=7&amp;number=0.000696&amp;sourceID=14","0.000696")</f>
        <v>0.000696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HYPERLINK("http://141.218.60.56/~jnz1568/getInfo.php?workbook=14_06.xlsx&amp;sheet=U0&amp;row=649&amp;col=6&amp;number=3.5&amp;sourceID=14","3.5")</f>
        <v>3.5</v>
      </c>
      <c r="G649" s="4" t="str">
        <f>HYPERLINK("http://141.218.60.56/~jnz1568/getInfo.php?workbook=14_06.xlsx&amp;sheet=U0&amp;row=649&amp;col=7&amp;number=0.000696&amp;sourceID=14","0.000696")</f>
        <v>0.000696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HYPERLINK("http://141.218.60.56/~jnz1568/getInfo.php?workbook=14_06.xlsx&amp;sheet=U0&amp;row=650&amp;col=6&amp;number=3.6&amp;sourceID=14","3.6")</f>
        <v>3.6</v>
      </c>
      <c r="G650" s="4" t="str">
        <f>HYPERLINK("http://141.218.60.56/~jnz1568/getInfo.php?workbook=14_06.xlsx&amp;sheet=U0&amp;row=650&amp;col=7&amp;number=0.000696&amp;sourceID=14","0.000696")</f>
        <v>0.000696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HYPERLINK("http://141.218.60.56/~jnz1568/getInfo.php?workbook=14_06.xlsx&amp;sheet=U0&amp;row=651&amp;col=6&amp;number=3.7&amp;sourceID=14","3.7")</f>
        <v>3.7</v>
      </c>
      <c r="G651" s="4" t="str">
        <f>HYPERLINK("http://141.218.60.56/~jnz1568/getInfo.php?workbook=14_06.xlsx&amp;sheet=U0&amp;row=651&amp;col=7&amp;number=0.000696&amp;sourceID=14","0.000696")</f>
        <v>0.000696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HYPERLINK("http://141.218.60.56/~jnz1568/getInfo.php?workbook=14_06.xlsx&amp;sheet=U0&amp;row=652&amp;col=6&amp;number=3.8&amp;sourceID=14","3.8")</f>
        <v>3.8</v>
      </c>
      <c r="G652" s="4" t="str">
        <f>HYPERLINK("http://141.218.60.56/~jnz1568/getInfo.php?workbook=14_06.xlsx&amp;sheet=U0&amp;row=652&amp;col=7&amp;number=0.000695&amp;sourceID=14","0.000695")</f>
        <v>0.000695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HYPERLINK("http://141.218.60.56/~jnz1568/getInfo.php?workbook=14_06.xlsx&amp;sheet=U0&amp;row=653&amp;col=6&amp;number=3.9&amp;sourceID=14","3.9")</f>
        <v>3.9</v>
      </c>
      <c r="G653" s="4" t="str">
        <f>HYPERLINK("http://141.218.60.56/~jnz1568/getInfo.php?workbook=14_06.xlsx&amp;sheet=U0&amp;row=653&amp;col=7&amp;number=0.000695&amp;sourceID=14","0.000695")</f>
        <v>0.000695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HYPERLINK("http://141.218.60.56/~jnz1568/getInfo.php?workbook=14_06.xlsx&amp;sheet=U0&amp;row=654&amp;col=6&amp;number=4&amp;sourceID=14","4")</f>
        <v>4</v>
      </c>
      <c r="G654" s="4" t="str">
        <f>HYPERLINK("http://141.218.60.56/~jnz1568/getInfo.php?workbook=14_06.xlsx&amp;sheet=U0&amp;row=654&amp;col=7&amp;number=0.000694&amp;sourceID=14","0.000694")</f>
        <v>0.000694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HYPERLINK("http://141.218.60.56/~jnz1568/getInfo.php?workbook=14_06.xlsx&amp;sheet=U0&amp;row=655&amp;col=6&amp;number=4.1&amp;sourceID=14","4.1")</f>
        <v>4.1</v>
      </c>
      <c r="G655" s="4" t="str">
        <f>HYPERLINK("http://141.218.60.56/~jnz1568/getInfo.php?workbook=14_06.xlsx&amp;sheet=U0&amp;row=655&amp;col=7&amp;number=0.000694&amp;sourceID=14","0.000694")</f>
        <v>0.000694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HYPERLINK("http://141.218.60.56/~jnz1568/getInfo.php?workbook=14_06.xlsx&amp;sheet=U0&amp;row=656&amp;col=6&amp;number=4.2&amp;sourceID=14","4.2")</f>
        <v>4.2</v>
      </c>
      <c r="G656" s="4" t="str">
        <f>HYPERLINK("http://141.218.60.56/~jnz1568/getInfo.php?workbook=14_06.xlsx&amp;sheet=U0&amp;row=656&amp;col=7&amp;number=0.000693&amp;sourceID=14","0.000693")</f>
        <v>0.000693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HYPERLINK("http://141.218.60.56/~jnz1568/getInfo.php?workbook=14_06.xlsx&amp;sheet=U0&amp;row=657&amp;col=6&amp;number=4.3&amp;sourceID=14","4.3")</f>
        <v>4.3</v>
      </c>
      <c r="G657" s="4" t="str">
        <f>HYPERLINK("http://141.218.60.56/~jnz1568/getInfo.php?workbook=14_06.xlsx&amp;sheet=U0&amp;row=657&amp;col=7&amp;number=0.000692&amp;sourceID=14","0.000692")</f>
        <v>0.000692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HYPERLINK("http://141.218.60.56/~jnz1568/getInfo.php?workbook=14_06.xlsx&amp;sheet=U0&amp;row=658&amp;col=6&amp;number=4.4&amp;sourceID=14","4.4")</f>
        <v>4.4</v>
      </c>
      <c r="G658" s="4" t="str">
        <f>HYPERLINK("http://141.218.60.56/~jnz1568/getInfo.php?workbook=14_06.xlsx&amp;sheet=U0&amp;row=658&amp;col=7&amp;number=0.00069&amp;sourceID=14","0.00069")</f>
        <v>0.00069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HYPERLINK("http://141.218.60.56/~jnz1568/getInfo.php?workbook=14_06.xlsx&amp;sheet=U0&amp;row=659&amp;col=6&amp;number=4.5&amp;sourceID=14","4.5")</f>
        <v>4.5</v>
      </c>
      <c r="G659" s="4" t="str">
        <f>HYPERLINK("http://141.218.60.56/~jnz1568/getInfo.php?workbook=14_06.xlsx&amp;sheet=U0&amp;row=659&amp;col=7&amp;number=0.000689&amp;sourceID=14","0.000689")</f>
        <v>0.000689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HYPERLINK("http://141.218.60.56/~jnz1568/getInfo.php?workbook=14_06.xlsx&amp;sheet=U0&amp;row=660&amp;col=6&amp;number=4.6&amp;sourceID=14","4.6")</f>
        <v>4.6</v>
      </c>
      <c r="G660" s="4" t="str">
        <f>HYPERLINK("http://141.218.60.56/~jnz1568/getInfo.php?workbook=14_06.xlsx&amp;sheet=U0&amp;row=660&amp;col=7&amp;number=0.000686&amp;sourceID=14","0.000686")</f>
        <v>0.000686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HYPERLINK("http://141.218.60.56/~jnz1568/getInfo.php?workbook=14_06.xlsx&amp;sheet=U0&amp;row=661&amp;col=6&amp;number=4.7&amp;sourceID=14","4.7")</f>
        <v>4.7</v>
      </c>
      <c r="G661" s="4" t="str">
        <f>HYPERLINK("http://141.218.60.56/~jnz1568/getInfo.php?workbook=14_06.xlsx&amp;sheet=U0&amp;row=661&amp;col=7&amp;number=0.000684&amp;sourceID=14","0.000684")</f>
        <v>0.000684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HYPERLINK("http://141.218.60.56/~jnz1568/getInfo.php?workbook=14_06.xlsx&amp;sheet=U0&amp;row=662&amp;col=6&amp;number=4.8&amp;sourceID=14","4.8")</f>
        <v>4.8</v>
      </c>
      <c r="G662" s="4" t="str">
        <f>HYPERLINK("http://141.218.60.56/~jnz1568/getInfo.php?workbook=14_06.xlsx&amp;sheet=U0&amp;row=662&amp;col=7&amp;number=0.00068&amp;sourceID=14","0.00068")</f>
        <v>0.00068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HYPERLINK("http://141.218.60.56/~jnz1568/getInfo.php?workbook=14_06.xlsx&amp;sheet=U0&amp;row=663&amp;col=6&amp;number=4.9&amp;sourceID=14","4.9")</f>
        <v>4.9</v>
      </c>
      <c r="G663" s="4" t="str">
        <f>HYPERLINK("http://141.218.60.56/~jnz1568/getInfo.php?workbook=14_06.xlsx&amp;sheet=U0&amp;row=663&amp;col=7&amp;number=0.000676&amp;sourceID=14","0.000676")</f>
        <v>0.000676</v>
      </c>
    </row>
    <row r="664" spans="1:7">
      <c r="A664" s="3">
        <v>14</v>
      </c>
      <c r="B664" s="3">
        <v>6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HYPERLINK("http://141.218.60.56/~jnz1568/getInfo.php?workbook=14_06.xlsx&amp;sheet=U0&amp;row=664&amp;col=6&amp;number=3&amp;sourceID=14","3")</f>
        <v>3</v>
      </c>
      <c r="G664" s="4" t="str">
        <f>HYPERLINK("http://141.218.60.56/~jnz1568/getInfo.php?workbook=14_06.xlsx&amp;sheet=U0&amp;row=664&amp;col=7&amp;number=0.0113&amp;sourceID=14","0.0113")</f>
        <v>0.0113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HYPERLINK("http://141.218.60.56/~jnz1568/getInfo.php?workbook=14_06.xlsx&amp;sheet=U0&amp;row=665&amp;col=6&amp;number=3.1&amp;sourceID=14","3.1")</f>
        <v>3.1</v>
      </c>
      <c r="G665" s="4" t="str">
        <f>HYPERLINK("http://141.218.60.56/~jnz1568/getInfo.php?workbook=14_06.xlsx&amp;sheet=U0&amp;row=665&amp;col=7&amp;number=0.0113&amp;sourceID=14","0.0113")</f>
        <v>0.0113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HYPERLINK("http://141.218.60.56/~jnz1568/getInfo.php?workbook=14_06.xlsx&amp;sheet=U0&amp;row=666&amp;col=6&amp;number=3.2&amp;sourceID=14","3.2")</f>
        <v>3.2</v>
      </c>
      <c r="G666" s="4" t="str">
        <f>HYPERLINK("http://141.218.60.56/~jnz1568/getInfo.php?workbook=14_06.xlsx&amp;sheet=U0&amp;row=666&amp;col=7&amp;number=0.0113&amp;sourceID=14","0.0113")</f>
        <v>0.0113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HYPERLINK("http://141.218.60.56/~jnz1568/getInfo.php?workbook=14_06.xlsx&amp;sheet=U0&amp;row=667&amp;col=6&amp;number=3.3&amp;sourceID=14","3.3")</f>
        <v>3.3</v>
      </c>
      <c r="G667" s="4" t="str">
        <f>HYPERLINK("http://141.218.60.56/~jnz1568/getInfo.php?workbook=14_06.xlsx&amp;sheet=U0&amp;row=667&amp;col=7&amp;number=0.0113&amp;sourceID=14","0.0113")</f>
        <v>0.0113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HYPERLINK("http://141.218.60.56/~jnz1568/getInfo.php?workbook=14_06.xlsx&amp;sheet=U0&amp;row=668&amp;col=6&amp;number=3.4&amp;sourceID=14","3.4")</f>
        <v>3.4</v>
      </c>
      <c r="G668" s="4" t="str">
        <f>HYPERLINK("http://141.218.60.56/~jnz1568/getInfo.php?workbook=14_06.xlsx&amp;sheet=U0&amp;row=668&amp;col=7&amp;number=0.0113&amp;sourceID=14","0.0113")</f>
        <v>0.0113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HYPERLINK("http://141.218.60.56/~jnz1568/getInfo.php?workbook=14_06.xlsx&amp;sheet=U0&amp;row=669&amp;col=6&amp;number=3.5&amp;sourceID=14","3.5")</f>
        <v>3.5</v>
      </c>
      <c r="G669" s="4" t="str">
        <f>HYPERLINK("http://141.218.60.56/~jnz1568/getInfo.php?workbook=14_06.xlsx&amp;sheet=U0&amp;row=669&amp;col=7&amp;number=0.0113&amp;sourceID=14","0.0113")</f>
        <v>0.0113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HYPERLINK("http://141.218.60.56/~jnz1568/getInfo.php?workbook=14_06.xlsx&amp;sheet=U0&amp;row=670&amp;col=6&amp;number=3.6&amp;sourceID=14","3.6")</f>
        <v>3.6</v>
      </c>
      <c r="G670" s="4" t="str">
        <f>HYPERLINK("http://141.218.60.56/~jnz1568/getInfo.php?workbook=14_06.xlsx&amp;sheet=U0&amp;row=670&amp;col=7&amp;number=0.0113&amp;sourceID=14","0.0113")</f>
        <v>0.0113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HYPERLINK("http://141.218.60.56/~jnz1568/getInfo.php?workbook=14_06.xlsx&amp;sheet=U0&amp;row=671&amp;col=6&amp;number=3.7&amp;sourceID=14","3.7")</f>
        <v>3.7</v>
      </c>
      <c r="G671" s="4" t="str">
        <f>HYPERLINK("http://141.218.60.56/~jnz1568/getInfo.php?workbook=14_06.xlsx&amp;sheet=U0&amp;row=671&amp;col=7&amp;number=0.0113&amp;sourceID=14","0.0113")</f>
        <v>0.0113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HYPERLINK("http://141.218.60.56/~jnz1568/getInfo.php?workbook=14_06.xlsx&amp;sheet=U0&amp;row=672&amp;col=6&amp;number=3.8&amp;sourceID=14","3.8")</f>
        <v>3.8</v>
      </c>
      <c r="G672" s="4" t="str">
        <f>HYPERLINK("http://141.218.60.56/~jnz1568/getInfo.php?workbook=14_06.xlsx&amp;sheet=U0&amp;row=672&amp;col=7&amp;number=0.0113&amp;sourceID=14","0.0113")</f>
        <v>0.0113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HYPERLINK("http://141.218.60.56/~jnz1568/getInfo.php?workbook=14_06.xlsx&amp;sheet=U0&amp;row=673&amp;col=6&amp;number=3.9&amp;sourceID=14","3.9")</f>
        <v>3.9</v>
      </c>
      <c r="G673" s="4" t="str">
        <f>HYPERLINK("http://141.218.60.56/~jnz1568/getInfo.php?workbook=14_06.xlsx&amp;sheet=U0&amp;row=673&amp;col=7&amp;number=0.0113&amp;sourceID=14","0.0113")</f>
        <v>0.0113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HYPERLINK("http://141.218.60.56/~jnz1568/getInfo.php?workbook=14_06.xlsx&amp;sheet=U0&amp;row=674&amp;col=6&amp;number=4&amp;sourceID=14","4")</f>
        <v>4</v>
      </c>
      <c r="G674" s="4" t="str">
        <f>HYPERLINK("http://141.218.60.56/~jnz1568/getInfo.php?workbook=14_06.xlsx&amp;sheet=U0&amp;row=674&amp;col=7&amp;number=0.0113&amp;sourceID=14","0.0113")</f>
        <v>0.0113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HYPERLINK("http://141.218.60.56/~jnz1568/getInfo.php?workbook=14_06.xlsx&amp;sheet=U0&amp;row=675&amp;col=6&amp;number=4.1&amp;sourceID=14","4.1")</f>
        <v>4.1</v>
      </c>
      <c r="G675" s="4" t="str">
        <f>HYPERLINK("http://141.218.60.56/~jnz1568/getInfo.php?workbook=14_06.xlsx&amp;sheet=U0&amp;row=675&amp;col=7&amp;number=0.0113&amp;sourceID=14","0.0113")</f>
        <v>0.0113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HYPERLINK("http://141.218.60.56/~jnz1568/getInfo.php?workbook=14_06.xlsx&amp;sheet=U0&amp;row=676&amp;col=6&amp;number=4.2&amp;sourceID=14","4.2")</f>
        <v>4.2</v>
      </c>
      <c r="G676" s="4" t="str">
        <f>HYPERLINK("http://141.218.60.56/~jnz1568/getInfo.php?workbook=14_06.xlsx&amp;sheet=U0&amp;row=676&amp;col=7&amp;number=0.0113&amp;sourceID=14","0.0113")</f>
        <v>0.0113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HYPERLINK("http://141.218.60.56/~jnz1568/getInfo.php?workbook=14_06.xlsx&amp;sheet=U0&amp;row=677&amp;col=6&amp;number=4.3&amp;sourceID=14","4.3")</f>
        <v>4.3</v>
      </c>
      <c r="G677" s="4" t="str">
        <f>HYPERLINK("http://141.218.60.56/~jnz1568/getInfo.php?workbook=14_06.xlsx&amp;sheet=U0&amp;row=677&amp;col=7&amp;number=0.0112&amp;sourceID=14","0.0112")</f>
        <v>0.0112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HYPERLINK("http://141.218.60.56/~jnz1568/getInfo.php?workbook=14_06.xlsx&amp;sheet=U0&amp;row=678&amp;col=6&amp;number=4.4&amp;sourceID=14","4.4")</f>
        <v>4.4</v>
      </c>
      <c r="G678" s="4" t="str">
        <f>HYPERLINK("http://141.218.60.56/~jnz1568/getInfo.php?workbook=14_06.xlsx&amp;sheet=U0&amp;row=678&amp;col=7&amp;number=0.0112&amp;sourceID=14","0.0112")</f>
        <v>0.0112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HYPERLINK("http://141.218.60.56/~jnz1568/getInfo.php?workbook=14_06.xlsx&amp;sheet=U0&amp;row=679&amp;col=6&amp;number=4.5&amp;sourceID=14","4.5")</f>
        <v>4.5</v>
      </c>
      <c r="G679" s="4" t="str">
        <f>HYPERLINK("http://141.218.60.56/~jnz1568/getInfo.php?workbook=14_06.xlsx&amp;sheet=U0&amp;row=679&amp;col=7&amp;number=0.0112&amp;sourceID=14","0.0112")</f>
        <v>0.0112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HYPERLINK("http://141.218.60.56/~jnz1568/getInfo.php?workbook=14_06.xlsx&amp;sheet=U0&amp;row=680&amp;col=6&amp;number=4.6&amp;sourceID=14","4.6")</f>
        <v>4.6</v>
      </c>
      <c r="G680" s="4" t="str">
        <f>HYPERLINK("http://141.218.60.56/~jnz1568/getInfo.php?workbook=14_06.xlsx&amp;sheet=U0&amp;row=680&amp;col=7&amp;number=0.0111&amp;sourceID=14","0.0111")</f>
        <v>0.0111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HYPERLINK("http://141.218.60.56/~jnz1568/getInfo.php?workbook=14_06.xlsx&amp;sheet=U0&amp;row=681&amp;col=6&amp;number=4.7&amp;sourceID=14","4.7")</f>
        <v>4.7</v>
      </c>
      <c r="G681" s="4" t="str">
        <f>HYPERLINK("http://141.218.60.56/~jnz1568/getInfo.php?workbook=14_06.xlsx&amp;sheet=U0&amp;row=681&amp;col=7&amp;number=0.0111&amp;sourceID=14","0.0111")</f>
        <v>0.0111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HYPERLINK("http://141.218.60.56/~jnz1568/getInfo.php?workbook=14_06.xlsx&amp;sheet=U0&amp;row=682&amp;col=6&amp;number=4.8&amp;sourceID=14","4.8")</f>
        <v>4.8</v>
      </c>
      <c r="G682" s="4" t="str">
        <f>HYPERLINK("http://141.218.60.56/~jnz1568/getInfo.php?workbook=14_06.xlsx&amp;sheet=U0&amp;row=682&amp;col=7&amp;number=0.011&amp;sourceID=14","0.011")</f>
        <v>0.011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HYPERLINK("http://141.218.60.56/~jnz1568/getInfo.php?workbook=14_06.xlsx&amp;sheet=U0&amp;row=683&amp;col=6&amp;number=4.9&amp;sourceID=14","4.9")</f>
        <v>4.9</v>
      </c>
      <c r="G683" s="4" t="str">
        <f>HYPERLINK("http://141.218.60.56/~jnz1568/getInfo.php?workbook=14_06.xlsx&amp;sheet=U0&amp;row=683&amp;col=7&amp;number=0.011&amp;sourceID=14","0.011")</f>
        <v>0.011</v>
      </c>
    </row>
    <row r="684" spans="1:7">
      <c r="A684" s="3">
        <v>14</v>
      </c>
      <c r="B684" s="3">
        <v>6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HYPERLINK("http://141.218.60.56/~jnz1568/getInfo.php?workbook=14_06.xlsx&amp;sheet=U0&amp;row=684&amp;col=6&amp;number=3&amp;sourceID=14","3")</f>
        <v>3</v>
      </c>
      <c r="G684" s="4" t="str">
        <f>HYPERLINK("http://141.218.60.56/~jnz1568/getInfo.php?workbook=14_06.xlsx&amp;sheet=U0&amp;row=684&amp;col=7&amp;number=0.00666&amp;sourceID=14","0.00666")</f>
        <v>0.00666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HYPERLINK("http://141.218.60.56/~jnz1568/getInfo.php?workbook=14_06.xlsx&amp;sheet=U0&amp;row=685&amp;col=6&amp;number=3.1&amp;sourceID=14","3.1")</f>
        <v>3.1</v>
      </c>
      <c r="G685" s="4" t="str">
        <f>HYPERLINK("http://141.218.60.56/~jnz1568/getInfo.php?workbook=14_06.xlsx&amp;sheet=U0&amp;row=685&amp;col=7&amp;number=0.00666&amp;sourceID=14","0.00666")</f>
        <v>0.00666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HYPERLINK("http://141.218.60.56/~jnz1568/getInfo.php?workbook=14_06.xlsx&amp;sheet=U0&amp;row=686&amp;col=6&amp;number=3.2&amp;sourceID=14","3.2")</f>
        <v>3.2</v>
      </c>
      <c r="G686" s="4" t="str">
        <f>HYPERLINK("http://141.218.60.56/~jnz1568/getInfo.php?workbook=14_06.xlsx&amp;sheet=U0&amp;row=686&amp;col=7&amp;number=0.00666&amp;sourceID=14","0.00666")</f>
        <v>0.00666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HYPERLINK("http://141.218.60.56/~jnz1568/getInfo.php?workbook=14_06.xlsx&amp;sheet=U0&amp;row=687&amp;col=6&amp;number=3.3&amp;sourceID=14","3.3")</f>
        <v>3.3</v>
      </c>
      <c r="G687" s="4" t="str">
        <f>HYPERLINK("http://141.218.60.56/~jnz1568/getInfo.php?workbook=14_06.xlsx&amp;sheet=U0&amp;row=687&amp;col=7&amp;number=0.00666&amp;sourceID=14","0.00666")</f>
        <v>0.00666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HYPERLINK("http://141.218.60.56/~jnz1568/getInfo.php?workbook=14_06.xlsx&amp;sheet=U0&amp;row=688&amp;col=6&amp;number=3.4&amp;sourceID=14","3.4")</f>
        <v>3.4</v>
      </c>
      <c r="G688" s="4" t="str">
        <f>HYPERLINK("http://141.218.60.56/~jnz1568/getInfo.php?workbook=14_06.xlsx&amp;sheet=U0&amp;row=688&amp;col=7&amp;number=0.00666&amp;sourceID=14","0.00666")</f>
        <v>0.00666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HYPERLINK("http://141.218.60.56/~jnz1568/getInfo.php?workbook=14_06.xlsx&amp;sheet=U0&amp;row=689&amp;col=6&amp;number=3.5&amp;sourceID=14","3.5")</f>
        <v>3.5</v>
      </c>
      <c r="G689" s="4" t="str">
        <f>HYPERLINK("http://141.218.60.56/~jnz1568/getInfo.php?workbook=14_06.xlsx&amp;sheet=U0&amp;row=689&amp;col=7&amp;number=0.00666&amp;sourceID=14","0.00666")</f>
        <v>0.00666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HYPERLINK("http://141.218.60.56/~jnz1568/getInfo.php?workbook=14_06.xlsx&amp;sheet=U0&amp;row=690&amp;col=6&amp;number=3.6&amp;sourceID=14","3.6")</f>
        <v>3.6</v>
      </c>
      <c r="G690" s="4" t="str">
        <f>HYPERLINK("http://141.218.60.56/~jnz1568/getInfo.php?workbook=14_06.xlsx&amp;sheet=U0&amp;row=690&amp;col=7&amp;number=0.00666&amp;sourceID=14","0.00666")</f>
        <v>0.00666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HYPERLINK("http://141.218.60.56/~jnz1568/getInfo.php?workbook=14_06.xlsx&amp;sheet=U0&amp;row=691&amp;col=6&amp;number=3.7&amp;sourceID=14","3.7")</f>
        <v>3.7</v>
      </c>
      <c r="G691" s="4" t="str">
        <f>HYPERLINK("http://141.218.60.56/~jnz1568/getInfo.php?workbook=14_06.xlsx&amp;sheet=U0&amp;row=691&amp;col=7&amp;number=0.00666&amp;sourceID=14","0.00666")</f>
        <v>0.00666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HYPERLINK("http://141.218.60.56/~jnz1568/getInfo.php?workbook=14_06.xlsx&amp;sheet=U0&amp;row=692&amp;col=6&amp;number=3.8&amp;sourceID=14","3.8")</f>
        <v>3.8</v>
      </c>
      <c r="G692" s="4" t="str">
        <f>HYPERLINK("http://141.218.60.56/~jnz1568/getInfo.php?workbook=14_06.xlsx&amp;sheet=U0&amp;row=692&amp;col=7&amp;number=0.00666&amp;sourceID=14","0.00666")</f>
        <v>0.00666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HYPERLINK("http://141.218.60.56/~jnz1568/getInfo.php?workbook=14_06.xlsx&amp;sheet=U0&amp;row=693&amp;col=6&amp;number=3.9&amp;sourceID=14","3.9")</f>
        <v>3.9</v>
      </c>
      <c r="G693" s="4" t="str">
        <f>HYPERLINK("http://141.218.60.56/~jnz1568/getInfo.php?workbook=14_06.xlsx&amp;sheet=U0&amp;row=693&amp;col=7&amp;number=0.00666&amp;sourceID=14","0.00666")</f>
        <v>0.00666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HYPERLINK("http://141.218.60.56/~jnz1568/getInfo.php?workbook=14_06.xlsx&amp;sheet=U0&amp;row=694&amp;col=6&amp;number=4&amp;sourceID=14","4")</f>
        <v>4</v>
      </c>
      <c r="G694" s="4" t="str">
        <f>HYPERLINK("http://141.218.60.56/~jnz1568/getInfo.php?workbook=14_06.xlsx&amp;sheet=U0&amp;row=694&amp;col=7&amp;number=0.00666&amp;sourceID=14","0.00666")</f>
        <v>0.00666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HYPERLINK("http://141.218.60.56/~jnz1568/getInfo.php?workbook=14_06.xlsx&amp;sheet=U0&amp;row=695&amp;col=6&amp;number=4.1&amp;sourceID=14","4.1")</f>
        <v>4.1</v>
      </c>
      <c r="G695" s="4" t="str">
        <f>HYPERLINK("http://141.218.60.56/~jnz1568/getInfo.php?workbook=14_06.xlsx&amp;sheet=U0&amp;row=695&amp;col=7&amp;number=0.00666&amp;sourceID=14","0.00666")</f>
        <v>0.00666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HYPERLINK("http://141.218.60.56/~jnz1568/getInfo.php?workbook=14_06.xlsx&amp;sheet=U0&amp;row=696&amp;col=6&amp;number=4.2&amp;sourceID=14","4.2")</f>
        <v>4.2</v>
      </c>
      <c r="G696" s="4" t="str">
        <f>HYPERLINK("http://141.218.60.56/~jnz1568/getInfo.php?workbook=14_06.xlsx&amp;sheet=U0&amp;row=696&amp;col=7&amp;number=0.00666&amp;sourceID=14","0.00666")</f>
        <v>0.00666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HYPERLINK("http://141.218.60.56/~jnz1568/getInfo.php?workbook=14_06.xlsx&amp;sheet=U0&amp;row=697&amp;col=6&amp;number=4.3&amp;sourceID=14","4.3")</f>
        <v>4.3</v>
      </c>
      <c r="G697" s="4" t="str">
        <f>HYPERLINK("http://141.218.60.56/~jnz1568/getInfo.php?workbook=14_06.xlsx&amp;sheet=U0&amp;row=697&amp;col=7&amp;number=0.00666&amp;sourceID=14","0.00666")</f>
        <v>0.00666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HYPERLINK("http://141.218.60.56/~jnz1568/getInfo.php?workbook=14_06.xlsx&amp;sheet=U0&amp;row=698&amp;col=6&amp;number=4.4&amp;sourceID=14","4.4")</f>
        <v>4.4</v>
      </c>
      <c r="G698" s="4" t="str">
        <f>HYPERLINK("http://141.218.60.56/~jnz1568/getInfo.php?workbook=14_06.xlsx&amp;sheet=U0&amp;row=698&amp;col=7&amp;number=0.00666&amp;sourceID=14","0.00666")</f>
        <v>0.00666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HYPERLINK("http://141.218.60.56/~jnz1568/getInfo.php?workbook=14_06.xlsx&amp;sheet=U0&amp;row=699&amp;col=6&amp;number=4.5&amp;sourceID=14","4.5")</f>
        <v>4.5</v>
      </c>
      <c r="G699" s="4" t="str">
        <f>HYPERLINK("http://141.218.60.56/~jnz1568/getInfo.php?workbook=14_06.xlsx&amp;sheet=U0&amp;row=699&amp;col=7&amp;number=0.00665&amp;sourceID=14","0.00665")</f>
        <v>0.00665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HYPERLINK("http://141.218.60.56/~jnz1568/getInfo.php?workbook=14_06.xlsx&amp;sheet=U0&amp;row=700&amp;col=6&amp;number=4.6&amp;sourceID=14","4.6")</f>
        <v>4.6</v>
      </c>
      <c r="G700" s="4" t="str">
        <f>HYPERLINK("http://141.218.60.56/~jnz1568/getInfo.php?workbook=14_06.xlsx&amp;sheet=U0&amp;row=700&amp;col=7&amp;number=0.00665&amp;sourceID=14","0.00665")</f>
        <v>0.00665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HYPERLINK("http://141.218.60.56/~jnz1568/getInfo.php?workbook=14_06.xlsx&amp;sheet=U0&amp;row=701&amp;col=6&amp;number=4.7&amp;sourceID=14","4.7")</f>
        <v>4.7</v>
      </c>
      <c r="G701" s="4" t="str">
        <f>HYPERLINK("http://141.218.60.56/~jnz1568/getInfo.php?workbook=14_06.xlsx&amp;sheet=U0&amp;row=701&amp;col=7&amp;number=0.00665&amp;sourceID=14","0.00665")</f>
        <v>0.00665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HYPERLINK("http://141.218.60.56/~jnz1568/getInfo.php?workbook=14_06.xlsx&amp;sheet=U0&amp;row=702&amp;col=6&amp;number=4.8&amp;sourceID=14","4.8")</f>
        <v>4.8</v>
      </c>
      <c r="G702" s="4" t="str">
        <f>HYPERLINK("http://141.218.60.56/~jnz1568/getInfo.php?workbook=14_06.xlsx&amp;sheet=U0&amp;row=702&amp;col=7&amp;number=0.00665&amp;sourceID=14","0.00665")</f>
        <v>0.00665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HYPERLINK("http://141.218.60.56/~jnz1568/getInfo.php?workbook=14_06.xlsx&amp;sheet=U0&amp;row=703&amp;col=6&amp;number=4.9&amp;sourceID=14","4.9")</f>
        <v>4.9</v>
      </c>
      <c r="G703" s="4" t="str">
        <f>HYPERLINK("http://141.218.60.56/~jnz1568/getInfo.php?workbook=14_06.xlsx&amp;sheet=U0&amp;row=703&amp;col=7&amp;number=0.00665&amp;sourceID=14","0.00665")</f>
        <v>0.00665</v>
      </c>
    </row>
    <row r="704" spans="1:7">
      <c r="A704" s="3">
        <v>14</v>
      </c>
      <c r="B704" s="3">
        <v>6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HYPERLINK("http://141.218.60.56/~jnz1568/getInfo.php?workbook=14_06.xlsx&amp;sheet=U0&amp;row=704&amp;col=6&amp;number=3&amp;sourceID=14","3")</f>
        <v>3</v>
      </c>
      <c r="G704" s="4" t="str">
        <f>HYPERLINK("http://141.218.60.56/~jnz1568/getInfo.php?workbook=14_06.xlsx&amp;sheet=U0&amp;row=704&amp;col=7&amp;number=0.00856&amp;sourceID=14","0.00856")</f>
        <v>0.00856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HYPERLINK("http://141.218.60.56/~jnz1568/getInfo.php?workbook=14_06.xlsx&amp;sheet=U0&amp;row=705&amp;col=6&amp;number=3.1&amp;sourceID=14","3.1")</f>
        <v>3.1</v>
      </c>
      <c r="G705" s="4" t="str">
        <f>HYPERLINK("http://141.218.60.56/~jnz1568/getInfo.php?workbook=14_06.xlsx&amp;sheet=U0&amp;row=705&amp;col=7&amp;number=0.00856&amp;sourceID=14","0.00856")</f>
        <v>0.00856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HYPERLINK("http://141.218.60.56/~jnz1568/getInfo.php?workbook=14_06.xlsx&amp;sheet=U0&amp;row=706&amp;col=6&amp;number=3.2&amp;sourceID=14","3.2")</f>
        <v>3.2</v>
      </c>
      <c r="G706" s="4" t="str">
        <f>HYPERLINK("http://141.218.60.56/~jnz1568/getInfo.php?workbook=14_06.xlsx&amp;sheet=U0&amp;row=706&amp;col=7&amp;number=0.00856&amp;sourceID=14","0.00856")</f>
        <v>0.00856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HYPERLINK("http://141.218.60.56/~jnz1568/getInfo.php?workbook=14_06.xlsx&amp;sheet=U0&amp;row=707&amp;col=6&amp;number=3.3&amp;sourceID=14","3.3")</f>
        <v>3.3</v>
      </c>
      <c r="G707" s="4" t="str">
        <f>HYPERLINK("http://141.218.60.56/~jnz1568/getInfo.php?workbook=14_06.xlsx&amp;sheet=U0&amp;row=707&amp;col=7&amp;number=0.00856&amp;sourceID=14","0.00856")</f>
        <v>0.00856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HYPERLINK("http://141.218.60.56/~jnz1568/getInfo.php?workbook=14_06.xlsx&amp;sheet=U0&amp;row=708&amp;col=6&amp;number=3.4&amp;sourceID=14","3.4")</f>
        <v>3.4</v>
      </c>
      <c r="G708" s="4" t="str">
        <f>HYPERLINK("http://141.218.60.56/~jnz1568/getInfo.php?workbook=14_06.xlsx&amp;sheet=U0&amp;row=708&amp;col=7&amp;number=0.00856&amp;sourceID=14","0.00856")</f>
        <v>0.00856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HYPERLINK("http://141.218.60.56/~jnz1568/getInfo.php?workbook=14_06.xlsx&amp;sheet=U0&amp;row=709&amp;col=6&amp;number=3.5&amp;sourceID=14","3.5")</f>
        <v>3.5</v>
      </c>
      <c r="G709" s="4" t="str">
        <f>HYPERLINK("http://141.218.60.56/~jnz1568/getInfo.php?workbook=14_06.xlsx&amp;sheet=U0&amp;row=709&amp;col=7&amp;number=0.00856&amp;sourceID=14","0.00856")</f>
        <v>0.00856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HYPERLINK("http://141.218.60.56/~jnz1568/getInfo.php?workbook=14_06.xlsx&amp;sheet=U0&amp;row=710&amp;col=6&amp;number=3.6&amp;sourceID=14","3.6")</f>
        <v>3.6</v>
      </c>
      <c r="G710" s="4" t="str">
        <f>HYPERLINK("http://141.218.60.56/~jnz1568/getInfo.php?workbook=14_06.xlsx&amp;sheet=U0&amp;row=710&amp;col=7&amp;number=0.00855&amp;sourceID=14","0.00855")</f>
        <v>0.00855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HYPERLINK("http://141.218.60.56/~jnz1568/getInfo.php?workbook=14_06.xlsx&amp;sheet=U0&amp;row=711&amp;col=6&amp;number=3.7&amp;sourceID=14","3.7")</f>
        <v>3.7</v>
      </c>
      <c r="G711" s="4" t="str">
        <f>HYPERLINK("http://141.218.60.56/~jnz1568/getInfo.php?workbook=14_06.xlsx&amp;sheet=U0&amp;row=711&amp;col=7&amp;number=0.00855&amp;sourceID=14","0.00855")</f>
        <v>0.00855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HYPERLINK("http://141.218.60.56/~jnz1568/getInfo.php?workbook=14_06.xlsx&amp;sheet=U0&amp;row=712&amp;col=6&amp;number=3.8&amp;sourceID=14","3.8")</f>
        <v>3.8</v>
      </c>
      <c r="G712" s="4" t="str">
        <f>HYPERLINK("http://141.218.60.56/~jnz1568/getInfo.php?workbook=14_06.xlsx&amp;sheet=U0&amp;row=712&amp;col=7&amp;number=0.00855&amp;sourceID=14","0.00855")</f>
        <v>0.00855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HYPERLINK("http://141.218.60.56/~jnz1568/getInfo.php?workbook=14_06.xlsx&amp;sheet=U0&amp;row=713&amp;col=6&amp;number=3.9&amp;sourceID=14","3.9")</f>
        <v>3.9</v>
      </c>
      <c r="G713" s="4" t="str">
        <f>HYPERLINK("http://141.218.60.56/~jnz1568/getInfo.php?workbook=14_06.xlsx&amp;sheet=U0&amp;row=713&amp;col=7&amp;number=0.00854&amp;sourceID=14","0.00854")</f>
        <v>0.00854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HYPERLINK("http://141.218.60.56/~jnz1568/getInfo.php?workbook=14_06.xlsx&amp;sheet=U0&amp;row=714&amp;col=6&amp;number=4&amp;sourceID=14","4")</f>
        <v>4</v>
      </c>
      <c r="G714" s="4" t="str">
        <f>HYPERLINK("http://141.218.60.56/~jnz1568/getInfo.php?workbook=14_06.xlsx&amp;sheet=U0&amp;row=714&amp;col=7&amp;number=0.00853&amp;sourceID=14","0.00853")</f>
        <v>0.00853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HYPERLINK("http://141.218.60.56/~jnz1568/getInfo.php?workbook=14_06.xlsx&amp;sheet=U0&amp;row=715&amp;col=6&amp;number=4.1&amp;sourceID=14","4.1")</f>
        <v>4.1</v>
      </c>
      <c r="G715" s="4" t="str">
        <f>HYPERLINK("http://141.218.60.56/~jnz1568/getInfo.php?workbook=14_06.xlsx&amp;sheet=U0&amp;row=715&amp;col=7&amp;number=0.00852&amp;sourceID=14","0.00852")</f>
        <v>0.00852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HYPERLINK("http://141.218.60.56/~jnz1568/getInfo.php?workbook=14_06.xlsx&amp;sheet=U0&amp;row=716&amp;col=6&amp;number=4.2&amp;sourceID=14","4.2")</f>
        <v>4.2</v>
      </c>
      <c r="G716" s="4" t="str">
        <f>HYPERLINK("http://141.218.60.56/~jnz1568/getInfo.php?workbook=14_06.xlsx&amp;sheet=U0&amp;row=716&amp;col=7&amp;number=0.00851&amp;sourceID=14","0.00851")</f>
        <v>0.00851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HYPERLINK("http://141.218.60.56/~jnz1568/getInfo.php?workbook=14_06.xlsx&amp;sheet=U0&amp;row=717&amp;col=6&amp;number=4.3&amp;sourceID=14","4.3")</f>
        <v>4.3</v>
      </c>
      <c r="G717" s="4" t="str">
        <f>HYPERLINK("http://141.218.60.56/~jnz1568/getInfo.php?workbook=14_06.xlsx&amp;sheet=U0&amp;row=717&amp;col=7&amp;number=0.0085&amp;sourceID=14","0.0085")</f>
        <v>0.0085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HYPERLINK("http://141.218.60.56/~jnz1568/getInfo.php?workbook=14_06.xlsx&amp;sheet=U0&amp;row=718&amp;col=6&amp;number=4.4&amp;sourceID=14","4.4")</f>
        <v>4.4</v>
      </c>
      <c r="G718" s="4" t="str">
        <f>HYPERLINK("http://141.218.60.56/~jnz1568/getInfo.php?workbook=14_06.xlsx&amp;sheet=U0&amp;row=718&amp;col=7&amp;number=0.00848&amp;sourceID=14","0.00848")</f>
        <v>0.00848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HYPERLINK("http://141.218.60.56/~jnz1568/getInfo.php?workbook=14_06.xlsx&amp;sheet=U0&amp;row=719&amp;col=6&amp;number=4.5&amp;sourceID=14","4.5")</f>
        <v>4.5</v>
      </c>
      <c r="G719" s="4" t="str">
        <f>HYPERLINK("http://141.218.60.56/~jnz1568/getInfo.php?workbook=14_06.xlsx&amp;sheet=U0&amp;row=719&amp;col=7&amp;number=0.00846&amp;sourceID=14","0.00846")</f>
        <v>0.00846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HYPERLINK("http://141.218.60.56/~jnz1568/getInfo.php?workbook=14_06.xlsx&amp;sheet=U0&amp;row=720&amp;col=6&amp;number=4.6&amp;sourceID=14","4.6")</f>
        <v>4.6</v>
      </c>
      <c r="G720" s="4" t="str">
        <f>HYPERLINK("http://141.218.60.56/~jnz1568/getInfo.php?workbook=14_06.xlsx&amp;sheet=U0&amp;row=720&amp;col=7&amp;number=0.00843&amp;sourceID=14","0.00843")</f>
        <v>0.00843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HYPERLINK("http://141.218.60.56/~jnz1568/getInfo.php?workbook=14_06.xlsx&amp;sheet=U0&amp;row=721&amp;col=6&amp;number=4.7&amp;sourceID=14","4.7")</f>
        <v>4.7</v>
      </c>
      <c r="G721" s="4" t="str">
        <f>HYPERLINK("http://141.218.60.56/~jnz1568/getInfo.php?workbook=14_06.xlsx&amp;sheet=U0&amp;row=721&amp;col=7&amp;number=0.00839&amp;sourceID=14","0.00839")</f>
        <v>0.00839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HYPERLINK("http://141.218.60.56/~jnz1568/getInfo.php?workbook=14_06.xlsx&amp;sheet=U0&amp;row=722&amp;col=6&amp;number=4.8&amp;sourceID=14","4.8")</f>
        <v>4.8</v>
      </c>
      <c r="G722" s="4" t="str">
        <f>HYPERLINK("http://141.218.60.56/~jnz1568/getInfo.php?workbook=14_06.xlsx&amp;sheet=U0&amp;row=722&amp;col=7&amp;number=0.00835&amp;sourceID=14","0.00835")</f>
        <v>0.00835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HYPERLINK("http://141.218.60.56/~jnz1568/getInfo.php?workbook=14_06.xlsx&amp;sheet=U0&amp;row=723&amp;col=6&amp;number=4.9&amp;sourceID=14","4.9")</f>
        <v>4.9</v>
      </c>
      <c r="G723" s="4" t="str">
        <f>HYPERLINK("http://141.218.60.56/~jnz1568/getInfo.php?workbook=14_06.xlsx&amp;sheet=U0&amp;row=723&amp;col=7&amp;number=0.00829&amp;sourceID=14","0.00829")</f>
        <v>0.00829</v>
      </c>
    </row>
    <row r="724" spans="1:7">
      <c r="A724" s="3">
        <v>14</v>
      </c>
      <c r="B724" s="3">
        <v>6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HYPERLINK("http://141.218.60.56/~jnz1568/getInfo.php?workbook=14_06.xlsx&amp;sheet=U0&amp;row=724&amp;col=6&amp;number=3&amp;sourceID=14","3")</f>
        <v>3</v>
      </c>
      <c r="G724" s="4" t="str">
        <f>HYPERLINK("http://141.218.60.56/~jnz1568/getInfo.php?workbook=14_06.xlsx&amp;sheet=U0&amp;row=724&amp;col=7&amp;number=0.00417&amp;sourceID=14","0.00417")</f>
        <v>0.00417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HYPERLINK("http://141.218.60.56/~jnz1568/getInfo.php?workbook=14_06.xlsx&amp;sheet=U0&amp;row=725&amp;col=6&amp;number=3.1&amp;sourceID=14","3.1")</f>
        <v>3.1</v>
      </c>
      <c r="G725" s="4" t="str">
        <f>HYPERLINK("http://141.218.60.56/~jnz1568/getInfo.php?workbook=14_06.xlsx&amp;sheet=U0&amp;row=725&amp;col=7&amp;number=0.00417&amp;sourceID=14","0.00417")</f>
        <v>0.00417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HYPERLINK("http://141.218.60.56/~jnz1568/getInfo.php?workbook=14_06.xlsx&amp;sheet=U0&amp;row=726&amp;col=6&amp;number=3.2&amp;sourceID=14","3.2")</f>
        <v>3.2</v>
      </c>
      <c r="G726" s="4" t="str">
        <f>HYPERLINK("http://141.218.60.56/~jnz1568/getInfo.php?workbook=14_06.xlsx&amp;sheet=U0&amp;row=726&amp;col=7&amp;number=0.00417&amp;sourceID=14","0.00417")</f>
        <v>0.00417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HYPERLINK("http://141.218.60.56/~jnz1568/getInfo.php?workbook=14_06.xlsx&amp;sheet=U0&amp;row=727&amp;col=6&amp;number=3.3&amp;sourceID=14","3.3")</f>
        <v>3.3</v>
      </c>
      <c r="G727" s="4" t="str">
        <f>HYPERLINK("http://141.218.60.56/~jnz1568/getInfo.php?workbook=14_06.xlsx&amp;sheet=U0&amp;row=727&amp;col=7&amp;number=0.00417&amp;sourceID=14","0.00417")</f>
        <v>0.00417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HYPERLINK("http://141.218.60.56/~jnz1568/getInfo.php?workbook=14_06.xlsx&amp;sheet=U0&amp;row=728&amp;col=6&amp;number=3.4&amp;sourceID=14","3.4")</f>
        <v>3.4</v>
      </c>
      <c r="G728" s="4" t="str">
        <f>HYPERLINK("http://141.218.60.56/~jnz1568/getInfo.php?workbook=14_06.xlsx&amp;sheet=U0&amp;row=728&amp;col=7&amp;number=0.00417&amp;sourceID=14","0.00417")</f>
        <v>0.00417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HYPERLINK("http://141.218.60.56/~jnz1568/getInfo.php?workbook=14_06.xlsx&amp;sheet=U0&amp;row=729&amp;col=6&amp;number=3.5&amp;sourceID=14","3.5")</f>
        <v>3.5</v>
      </c>
      <c r="G729" s="4" t="str">
        <f>HYPERLINK("http://141.218.60.56/~jnz1568/getInfo.php?workbook=14_06.xlsx&amp;sheet=U0&amp;row=729&amp;col=7&amp;number=0.00417&amp;sourceID=14","0.00417")</f>
        <v>0.00417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HYPERLINK("http://141.218.60.56/~jnz1568/getInfo.php?workbook=14_06.xlsx&amp;sheet=U0&amp;row=730&amp;col=6&amp;number=3.6&amp;sourceID=14","3.6")</f>
        <v>3.6</v>
      </c>
      <c r="G730" s="4" t="str">
        <f>HYPERLINK("http://141.218.60.56/~jnz1568/getInfo.php?workbook=14_06.xlsx&amp;sheet=U0&amp;row=730&amp;col=7&amp;number=0.00417&amp;sourceID=14","0.00417")</f>
        <v>0.00417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HYPERLINK("http://141.218.60.56/~jnz1568/getInfo.php?workbook=14_06.xlsx&amp;sheet=U0&amp;row=731&amp;col=6&amp;number=3.7&amp;sourceID=14","3.7")</f>
        <v>3.7</v>
      </c>
      <c r="G731" s="4" t="str">
        <f>HYPERLINK("http://141.218.60.56/~jnz1568/getInfo.php?workbook=14_06.xlsx&amp;sheet=U0&amp;row=731&amp;col=7&amp;number=0.00416&amp;sourceID=14","0.00416")</f>
        <v>0.00416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HYPERLINK("http://141.218.60.56/~jnz1568/getInfo.php?workbook=14_06.xlsx&amp;sheet=U0&amp;row=732&amp;col=6&amp;number=3.8&amp;sourceID=14","3.8")</f>
        <v>3.8</v>
      </c>
      <c r="G732" s="4" t="str">
        <f>HYPERLINK("http://141.218.60.56/~jnz1568/getInfo.php?workbook=14_06.xlsx&amp;sheet=U0&amp;row=732&amp;col=7&amp;number=0.00416&amp;sourceID=14","0.00416")</f>
        <v>0.00416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HYPERLINK("http://141.218.60.56/~jnz1568/getInfo.php?workbook=14_06.xlsx&amp;sheet=U0&amp;row=733&amp;col=6&amp;number=3.9&amp;sourceID=14","3.9")</f>
        <v>3.9</v>
      </c>
      <c r="G733" s="4" t="str">
        <f>HYPERLINK("http://141.218.60.56/~jnz1568/getInfo.php?workbook=14_06.xlsx&amp;sheet=U0&amp;row=733&amp;col=7&amp;number=0.00416&amp;sourceID=14","0.00416")</f>
        <v>0.00416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HYPERLINK("http://141.218.60.56/~jnz1568/getInfo.php?workbook=14_06.xlsx&amp;sheet=U0&amp;row=734&amp;col=6&amp;number=4&amp;sourceID=14","4")</f>
        <v>4</v>
      </c>
      <c r="G734" s="4" t="str">
        <f>HYPERLINK("http://141.218.60.56/~jnz1568/getInfo.php?workbook=14_06.xlsx&amp;sheet=U0&amp;row=734&amp;col=7&amp;number=0.00416&amp;sourceID=14","0.00416")</f>
        <v>0.00416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HYPERLINK("http://141.218.60.56/~jnz1568/getInfo.php?workbook=14_06.xlsx&amp;sheet=U0&amp;row=735&amp;col=6&amp;number=4.1&amp;sourceID=14","4.1")</f>
        <v>4.1</v>
      </c>
      <c r="G735" s="4" t="str">
        <f>HYPERLINK("http://141.218.60.56/~jnz1568/getInfo.php?workbook=14_06.xlsx&amp;sheet=U0&amp;row=735&amp;col=7&amp;number=0.00415&amp;sourceID=14","0.00415")</f>
        <v>0.00415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HYPERLINK("http://141.218.60.56/~jnz1568/getInfo.php?workbook=14_06.xlsx&amp;sheet=U0&amp;row=736&amp;col=6&amp;number=4.2&amp;sourceID=14","4.2")</f>
        <v>4.2</v>
      </c>
      <c r="G736" s="4" t="str">
        <f>HYPERLINK("http://141.218.60.56/~jnz1568/getInfo.php?workbook=14_06.xlsx&amp;sheet=U0&amp;row=736&amp;col=7&amp;number=0.00415&amp;sourceID=14","0.00415")</f>
        <v>0.00415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HYPERLINK("http://141.218.60.56/~jnz1568/getInfo.php?workbook=14_06.xlsx&amp;sheet=U0&amp;row=737&amp;col=6&amp;number=4.3&amp;sourceID=14","4.3")</f>
        <v>4.3</v>
      </c>
      <c r="G737" s="4" t="str">
        <f>HYPERLINK("http://141.218.60.56/~jnz1568/getInfo.php?workbook=14_06.xlsx&amp;sheet=U0&amp;row=737&amp;col=7&amp;number=0.00414&amp;sourceID=14","0.00414")</f>
        <v>0.00414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HYPERLINK("http://141.218.60.56/~jnz1568/getInfo.php?workbook=14_06.xlsx&amp;sheet=U0&amp;row=738&amp;col=6&amp;number=4.4&amp;sourceID=14","4.4")</f>
        <v>4.4</v>
      </c>
      <c r="G738" s="4" t="str">
        <f>HYPERLINK("http://141.218.60.56/~jnz1568/getInfo.php?workbook=14_06.xlsx&amp;sheet=U0&amp;row=738&amp;col=7&amp;number=0.00413&amp;sourceID=14","0.00413")</f>
        <v>0.00413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HYPERLINK("http://141.218.60.56/~jnz1568/getInfo.php?workbook=14_06.xlsx&amp;sheet=U0&amp;row=739&amp;col=6&amp;number=4.5&amp;sourceID=14","4.5")</f>
        <v>4.5</v>
      </c>
      <c r="G739" s="4" t="str">
        <f>HYPERLINK("http://141.218.60.56/~jnz1568/getInfo.php?workbook=14_06.xlsx&amp;sheet=U0&amp;row=739&amp;col=7&amp;number=0.00412&amp;sourceID=14","0.00412")</f>
        <v>0.00412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HYPERLINK("http://141.218.60.56/~jnz1568/getInfo.php?workbook=14_06.xlsx&amp;sheet=U0&amp;row=740&amp;col=6&amp;number=4.6&amp;sourceID=14","4.6")</f>
        <v>4.6</v>
      </c>
      <c r="G740" s="4" t="str">
        <f>HYPERLINK("http://141.218.60.56/~jnz1568/getInfo.php?workbook=14_06.xlsx&amp;sheet=U0&amp;row=740&amp;col=7&amp;number=0.00411&amp;sourceID=14","0.00411")</f>
        <v>0.00411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HYPERLINK("http://141.218.60.56/~jnz1568/getInfo.php?workbook=14_06.xlsx&amp;sheet=U0&amp;row=741&amp;col=6&amp;number=4.7&amp;sourceID=14","4.7")</f>
        <v>4.7</v>
      </c>
      <c r="G741" s="4" t="str">
        <f>HYPERLINK("http://141.218.60.56/~jnz1568/getInfo.php?workbook=14_06.xlsx&amp;sheet=U0&amp;row=741&amp;col=7&amp;number=0.00409&amp;sourceID=14","0.00409")</f>
        <v>0.00409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HYPERLINK("http://141.218.60.56/~jnz1568/getInfo.php?workbook=14_06.xlsx&amp;sheet=U0&amp;row=742&amp;col=6&amp;number=4.8&amp;sourceID=14","4.8")</f>
        <v>4.8</v>
      </c>
      <c r="G742" s="4" t="str">
        <f>HYPERLINK("http://141.218.60.56/~jnz1568/getInfo.php?workbook=14_06.xlsx&amp;sheet=U0&amp;row=742&amp;col=7&amp;number=0.00407&amp;sourceID=14","0.00407")</f>
        <v>0.00407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HYPERLINK("http://141.218.60.56/~jnz1568/getInfo.php?workbook=14_06.xlsx&amp;sheet=U0&amp;row=743&amp;col=6&amp;number=4.9&amp;sourceID=14","4.9")</f>
        <v>4.9</v>
      </c>
      <c r="G743" s="4" t="str">
        <f>HYPERLINK("http://141.218.60.56/~jnz1568/getInfo.php?workbook=14_06.xlsx&amp;sheet=U0&amp;row=743&amp;col=7&amp;number=0.00404&amp;sourceID=14","0.00404")</f>
        <v>0.00404</v>
      </c>
    </row>
    <row r="744" spans="1:7">
      <c r="A744" s="3">
        <v>14</v>
      </c>
      <c r="B744" s="3">
        <v>6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HYPERLINK("http://141.218.60.56/~jnz1568/getInfo.php?workbook=14_06.xlsx&amp;sheet=U0&amp;row=744&amp;col=6&amp;number=3&amp;sourceID=14","3")</f>
        <v>3</v>
      </c>
      <c r="G744" s="4" t="str">
        <f>HYPERLINK("http://141.218.60.56/~jnz1568/getInfo.php?workbook=14_06.xlsx&amp;sheet=U0&amp;row=744&amp;col=7&amp;number=0.114&amp;sourceID=14","0.114")</f>
        <v>0.114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HYPERLINK("http://141.218.60.56/~jnz1568/getInfo.php?workbook=14_06.xlsx&amp;sheet=U0&amp;row=745&amp;col=6&amp;number=3.1&amp;sourceID=14","3.1")</f>
        <v>3.1</v>
      </c>
      <c r="G745" s="4" t="str">
        <f>HYPERLINK("http://141.218.60.56/~jnz1568/getInfo.php?workbook=14_06.xlsx&amp;sheet=U0&amp;row=745&amp;col=7&amp;number=0.114&amp;sourceID=14","0.114")</f>
        <v>0.114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HYPERLINK("http://141.218.60.56/~jnz1568/getInfo.php?workbook=14_06.xlsx&amp;sheet=U0&amp;row=746&amp;col=6&amp;number=3.2&amp;sourceID=14","3.2")</f>
        <v>3.2</v>
      </c>
      <c r="G746" s="4" t="str">
        <f>HYPERLINK("http://141.218.60.56/~jnz1568/getInfo.php?workbook=14_06.xlsx&amp;sheet=U0&amp;row=746&amp;col=7&amp;number=0.114&amp;sourceID=14","0.114")</f>
        <v>0.114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HYPERLINK("http://141.218.60.56/~jnz1568/getInfo.php?workbook=14_06.xlsx&amp;sheet=U0&amp;row=747&amp;col=6&amp;number=3.3&amp;sourceID=14","3.3")</f>
        <v>3.3</v>
      </c>
      <c r="G747" s="4" t="str">
        <f>HYPERLINK("http://141.218.60.56/~jnz1568/getInfo.php?workbook=14_06.xlsx&amp;sheet=U0&amp;row=747&amp;col=7&amp;number=0.114&amp;sourceID=14","0.114")</f>
        <v>0.114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HYPERLINK("http://141.218.60.56/~jnz1568/getInfo.php?workbook=14_06.xlsx&amp;sheet=U0&amp;row=748&amp;col=6&amp;number=3.4&amp;sourceID=14","3.4")</f>
        <v>3.4</v>
      </c>
      <c r="G748" s="4" t="str">
        <f>HYPERLINK("http://141.218.60.56/~jnz1568/getInfo.php?workbook=14_06.xlsx&amp;sheet=U0&amp;row=748&amp;col=7&amp;number=0.114&amp;sourceID=14","0.114")</f>
        <v>0.114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HYPERLINK("http://141.218.60.56/~jnz1568/getInfo.php?workbook=14_06.xlsx&amp;sheet=U0&amp;row=749&amp;col=6&amp;number=3.5&amp;sourceID=14","3.5")</f>
        <v>3.5</v>
      </c>
      <c r="G749" s="4" t="str">
        <f>HYPERLINK("http://141.218.60.56/~jnz1568/getInfo.php?workbook=14_06.xlsx&amp;sheet=U0&amp;row=749&amp;col=7&amp;number=0.114&amp;sourceID=14","0.114")</f>
        <v>0.114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HYPERLINK("http://141.218.60.56/~jnz1568/getInfo.php?workbook=14_06.xlsx&amp;sheet=U0&amp;row=750&amp;col=6&amp;number=3.6&amp;sourceID=14","3.6")</f>
        <v>3.6</v>
      </c>
      <c r="G750" s="4" t="str">
        <f>HYPERLINK("http://141.218.60.56/~jnz1568/getInfo.php?workbook=14_06.xlsx&amp;sheet=U0&amp;row=750&amp;col=7&amp;number=0.114&amp;sourceID=14","0.114")</f>
        <v>0.114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HYPERLINK("http://141.218.60.56/~jnz1568/getInfo.php?workbook=14_06.xlsx&amp;sheet=U0&amp;row=751&amp;col=6&amp;number=3.7&amp;sourceID=14","3.7")</f>
        <v>3.7</v>
      </c>
      <c r="G751" s="4" t="str">
        <f>HYPERLINK("http://141.218.60.56/~jnz1568/getInfo.php?workbook=14_06.xlsx&amp;sheet=U0&amp;row=751&amp;col=7&amp;number=0.114&amp;sourceID=14","0.114")</f>
        <v>0.114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HYPERLINK("http://141.218.60.56/~jnz1568/getInfo.php?workbook=14_06.xlsx&amp;sheet=U0&amp;row=752&amp;col=6&amp;number=3.8&amp;sourceID=14","3.8")</f>
        <v>3.8</v>
      </c>
      <c r="G752" s="4" t="str">
        <f>HYPERLINK("http://141.218.60.56/~jnz1568/getInfo.php?workbook=14_06.xlsx&amp;sheet=U0&amp;row=752&amp;col=7&amp;number=0.114&amp;sourceID=14","0.114")</f>
        <v>0.114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HYPERLINK("http://141.218.60.56/~jnz1568/getInfo.php?workbook=14_06.xlsx&amp;sheet=U0&amp;row=753&amp;col=6&amp;number=3.9&amp;sourceID=14","3.9")</f>
        <v>3.9</v>
      </c>
      <c r="G753" s="4" t="str">
        <f>HYPERLINK("http://141.218.60.56/~jnz1568/getInfo.php?workbook=14_06.xlsx&amp;sheet=U0&amp;row=753&amp;col=7&amp;number=0.114&amp;sourceID=14","0.114")</f>
        <v>0.114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HYPERLINK("http://141.218.60.56/~jnz1568/getInfo.php?workbook=14_06.xlsx&amp;sheet=U0&amp;row=754&amp;col=6&amp;number=4&amp;sourceID=14","4")</f>
        <v>4</v>
      </c>
      <c r="G754" s="4" t="str">
        <f>HYPERLINK("http://141.218.60.56/~jnz1568/getInfo.php?workbook=14_06.xlsx&amp;sheet=U0&amp;row=754&amp;col=7&amp;number=0.114&amp;sourceID=14","0.114")</f>
        <v>0.114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HYPERLINK("http://141.218.60.56/~jnz1568/getInfo.php?workbook=14_06.xlsx&amp;sheet=U0&amp;row=755&amp;col=6&amp;number=4.1&amp;sourceID=14","4.1")</f>
        <v>4.1</v>
      </c>
      <c r="G755" s="4" t="str">
        <f>HYPERLINK("http://141.218.60.56/~jnz1568/getInfo.php?workbook=14_06.xlsx&amp;sheet=U0&amp;row=755&amp;col=7&amp;number=0.114&amp;sourceID=14","0.114")</f>
        <v>0.114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HYPERLINK("http://141.218.60.56/~jnz1568/getInfo.php?workbook=14_06.xlsx&amp;sheet=U0&amp;row=756&amp;col=6&amp;number=4.2&amp;sourceID=14","4.2")</f>
        <v>4.2</v>
      </c>
      <c r="G756" s="4" t="str">
        <f>HYPERLINK("http://141.218.60.56/~jnz1568/getInfo.php?workbook=14_06.xlsx&amp;sheet=U0&amp;row=756&amp;col=7&amp;number=0.115&amp;sourceID=14","0.115")</f>
        <v>0.115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HYPERLINK("http://141.218.60.56/~jnz1568/getInfo.php?workbook=14_06.xlsx&amp;sheet=U0&amp;row=757&amp;col=6&amp;number=4.3&amp;sourceID=14","4.3")</f>
        <v>4.3</v>
      </c>
      <c r="G757" s="4" t="str">
        <f>HYPERLINK("http://141.218.60.56/~jnz1568/getInfo.php?workbook=14_06.xlsx&amp;sheet=U0&amp;row=757&amp;col=7&amp;number=0.115&amp;sourceID=14","0.115")</f>
        <v>0.115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HYPERLINK("http://141.218.60.56/~jnz1568/getInfo.php?workbook=14_06.xlsx&amp;sheet=U0&amp;row=758&amp;col=6&amp;number=4.4&amp;sourceID=14","4.4")</f>
        <v>4.4</v>
      </c>
      <c r="G758" s="4" t="str">
        <f>HYPERLINK("http://141.218.60.56/~jnz1568/getInfo.php?workbook=14_06.xlsx&amp;sheet=U0&amp;row=758&amp;col=7&amp;number=0.115&amp;sourceID=14","0.115")</f>
        <v>0.115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HYPERLINK("http://141.218.60.56/~jnz1568/getInfo.php?workbook=14_06.xlsx&amp;sheet=U0&amp;row=759&amp;col=6&amp;number=4.5&amp;sourceID=14","4.5")</f>
        <v>4.5</v>
      </c>
      <c r="G759" s="4" t="str">
        <f>HYPERLINK("http://141.218.60.56/~jnz1568/getInfo.php?workbook=14_06.xlsx&amp;sheet=U0&amp;row=759&amp;col=7&amp;number=0.115&amp;sourceID=14","0.115")</f>
        <v>0.115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HYPERLINK("http://141.218.60.56/~jnz1568/getInfo.php?workbook=14_06.xlsx&amp;sheet=U0&amp;row=760&amp;col=6&amp;number=4.6&amp;sourceID=14","4.6")</f>
        <v>4.6</v>
      </c>
      <c r="G760" s="4" t="str">
        <f>HYPERLINK("http://141.218.60.56/~jnz1568/getInfo.php?workbook=14_06.xlsx&amp;sheet=U0&amp;row=760&amp;col=7&amp;number=0.116&amp;sourceID=14","0.116")</f>
        <v>0.116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HYPERLINK("http://141.218.60.56/~jnz1568/getInfo.php?workbook=14_06.xlsx&amp;sheet=U0&amp;row=761&amp;col=6&amp;number=4.7&amp;sourceID=14","4.7")</f>
        <v>4.7</v>
      </c>
      <c r="G761" s="4" t="str">
        <f>HYPERLINK("http://141.218.60.56/~jnz1568/getInfo.php?workbook=14_06.xlsx&amp;sheet=U0&amp;row=761&amp;col=7&amp;number=0.117&amp;sourceID=14","0.117")</f>
        <v>0.117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HYPERLINK("http://141.218.60.56/~jnz1568/getInfo.php?workbook=14_06.xlsx&amp;sheet=U0&amp;row=762&amp;col=6&amp;number=4.8&amp;sourceID=14","4.8")</f>
        <v>4.8</v>
      </c>
      <c r="G762" s="4" t="str">
        <f>HYPERLINK("http://141.218.60.56/~jnz1568/getInfo.php?workbook=14_06.xlsx&amp;sheet=U0&amp;row=762&amp;col=7&amp;number=0.117&amp;sourceID=14","0.117")</f>
        <v>0.117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HYPERLINK("http://141.218.60.56/~jnz1568/getInfo.php?workbook=14_06.xlsx&amp;sheet=U0&amp;row=763&amp;col=6&amp;number=4.9&amp;sourceID=14","4.9")</f>
        <v>4.9</v>
      </c>
      <c r="G763" s="4" t="str">
        <f>HYPERLINK("http://141.218.60.56/~jnz1568/getInfo.php?workbook=14_06.xlsx&amp;sheet=U0&amp;row=763&amp;col=7&amp;number=0.118&amp;sourceID=14","0.118")</f>
        <v>0.118</v>
      </c>
    </row>
    <row r="764" spans="1:7">
      <c r="A764" s="3">
        <v>14</v>
      </c>
      <c r="B764" s="3">
        <v>6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HYPERLINK("http://141.218.60.56/~jnz1568/getInfo.php?workbook=14_06.xlsx&amp;sheet=U0&amp;row=764&amp;col=6&amp;number=3&amp;sourceID=14","3")</f>
        <v>3</v>
      </c>
      <c r="G764" s="4" t="str">
        <f>HYPERLINK("http://141.218.60.56/~jnz1568/getInfo.php?workbook=14_06.xlsx&amp;sheet=U0&amp;row=764&amp;col=7&amp;number=0.013&amp;sourceID=14","0.013")</f>
        <v>0.013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HYPERLINK("http://141.218.60.56/~jnz1568/getInfo.php?workbook=14_06.xlsx&amp;sheet=U0&amp;row=765&amp;col=6&amp;number=3.1&amp;sourceID=14","3.1")</f>
        <v>3.1</v>
      </c>
      <c r="G765" s="4" t="str">
        <f>HYPERLINK("http://141.218.60.56/~jnz1568/getInfo.php?workbook=14_06.xlsx&amp;sheet=U0&amp;row=765&amp;col=7&amp;number=0.013&amp;sourceID=14","0.013")</f>
        <v>0.013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HYPERLINK("http://141.218.60.56/~jnz1568/getInfo.php?workbook=14_06.xlsx&amp;sheet=U0&amp;row=766&amp;col=6&amp;number=3.2&amp;sourceID=14","3.2")</f>
        <v>3.2</v>
      </c>
      <c r="G766" s="4" t="str">
        <f>HYPERLINK("http://141.218.60.56/~jnz1568/getInfo.php?workbook=14_06.xlsx&amp;sheet=U0&amp;row=766&amp;col=7&amp;number=0.013&amp;sourceID=14","0.013")</f>
        <v>0.013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HYPERLINK("http://141.218.60.56/~jnz1568/getInfo.php?workbook=14_06.xlsx&amp;sheet=U0&amp;row=767&amp;col=6&amp;number=3.3&amp;sourceID=14","3.3")</f>
        <v>3.3</v>
      </c>
      <c r="G767" s="4" t="str">
        <f>HYPERLINK("http://141.218.60.56/~jnz1568/getInfo.php?workbook=14_06.xlsx&amp;sheet=U0&amp;row=767&amp;col=7&amp;number=0.013&amp;sourceID=14","0.013")</f>
        <v>0.013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HYPERLINK("http://141.218.60.56/~jnz1568/getInfo.php?workbook=14_06.xlsx&amp;sheet=U0&amp;row=768&amp;col=6&amp;number=3.4&amp;sourceID=14","3.4")</f>
        <v>3.4</v>
      </c>
      <c r="G768" s="4" t="str">
        <f>HYPERLINK("http://141.218.60.56/~jnz1568/getInfo.php?workbook=14_06.xlsx&amp;sheet=U0&amp;row=768&amp;col=7&amp;number=0.013&amp;sourceID=14","0.013")</f>
        <v>0.013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HYPERLINK("http://141.218.60.56/~jnz1568/getInfo.php?workbook=14_06.xlsx&amp;sheet=U0&amp;row=769&amp;col=6&amp;number=3.5&amp;sourceID=14","3.5")</f>
        <v>3.5</v>
      </c>
      <c r="G769" s="4" t="str">
        <f>HYPERLINK("http://141.218.60.56/~jnz1568/getInfo.php?workbook=14_06.xlsx&amp;sheet=U0&amp;row=769&amp;col=7&amp;number=0.013&amp;sourceID=14","0.013")</f>
        <v>0.013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HYPERLINK("http://141.218.60.56/~jnz1568/getInfo.php?workbook=14_06.xlsx&amp;sheet=U0&amp;row=770&amp;col=6&amp;number=3.6&amp;sourceID=14","3.6")</f>
        <v>3.6</v>
      </c>
      <c r="G770" s="4" t="str">
        <f>HYPERLINK("http://141.218.60.56/~jnz1568/getInfo.php?workbook=14_06.xlsx&amp;sheet=U0&amp;row=770&amp;col=7&amp;number=0.013&amp;sourceID=14","0.013")</f>
        <v>0.013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HYPERLINK("http://141.218.60.56/~jnz1568/getInfo.php?workbook=14_06.xlsx&amp;sheet=U0&amp;row=771&amp;col=6&amp;number=3.7&amp;sourceID=14","3.7")</f>
        <v>3.7</v>
      </c>
      <c r="G771" s="4" t="str">
        <f>HYPERLINK("http://141.218.60.56/~jnz1568/getInfo.php?workbook=14_06.xlsx&amp;sheet=U0&amp;row=771&amp;col=7&amp;number=0.013&amp;sourceID=14","0.013")</f>
        <v>0.013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HYPERLINK("http://141.218.60.56/~jnz1568/getInfo.php?workbook=14_06.xlsx&amp;sheet=U0&amp;row=772&amp;col=6&amp;number=3.8&amp;sourceID=14","3.8")</f>
        <v>3.8</v>
      </c>
      <c r="G772" s="4" t="str">
        <f>HYPERLINK("http://141.218.60.56/~jnz1568/getInfo.php?workbook=14_06.xlsx&amp;sheet=U0&amp;row=772&amp;col=7&amp;number=0.013&amp;sourceID=14","0.013")</f>
        <v>0.013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HYPERLINK("http://141.218.60.56/~jnz1568/getInfo.php?workbook=14_06.xlsx&amp;sheet=U0&amp;row=773&amp;col=6&amp;number=3.9&amp;sourceID=14","3.9")</f>
        <v>3.9</v>
      </c>
      <c r="G773" s="4" t="str">
        <f>HYPERLINK("http://141.218.60.56/~jnz1568/getInfo.php?workbook=14_06.xlsx&amp;sheet=U0&amp;row=773&amp;col=7&amp;number=0.013&amp;sourceID=14","0.013")</f>
        <v>0.013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HYPERLINK("http://141.218.60.56/~jnz1568/getInfo.php?workbook=14_06.xlsx&amp;sheet=U0&amp;row=774&amp;col=6&amp;number=4&amp;sourceID=14","4")</f>
        <v>4</v>
      </c>
      <c r="G774" s="4" t="str">
        <f>HYPERLINK("http://141.218.60.56/~jnz1568/getInfo.php?workbook=14_06.xlsx&amp;sheet=U0&amp;row=774&amp;col=7&amp;number=0.013&amp;sourceID=14","0.013")</f>
        <v>0.013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HYPERLINK("http://141.218.60.56/~jnz1568/getInfo.php?workbook=14_06.xlsx&amp;sheet=U0&amp;row=775&amp;col=6&amp;number=4.1&amp;sourceID=14","4.1")</f>
        <v>4.1</v>
      </c>
      <c r="G775" s="4" t="str">
        <f>HYPERLINK("http://141.218.60.56/~jnz1568/getInfo.php?workbook=14_06.xlsx&amp;sheet=U0&amp;row=775&amp;col=7&amp;number=0.013&amp;sourceID=14","0.013")</f>
        <v>0.013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HYPERLINK("http://141.218.60.56/~jnz1568/getInfo.php?workbook=14_06.xlsx&amp;sheet=U0&amp;row=776&amp;col=6&amp;number=4.2&amp;sourceID=14","4.2")</f>
        <v>4.2</v>
      </c>
      <c r="G776" s="4" t="str">
        <f>HYPERLINK("http://141.218.60.56/~jnz1568/getInfo.php?workbook=14_06.xlsx&amp;sheet=U0&amp;row=776&amp;col=7&amp;number=0.013&amp;sourceID=14","0.013")</f>
        <v>0.013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HYPERLINK("http://141.218.60.56/~jnz1568/getInfo.php?workbook=14_06.xlsx&amp;sheet=U0&amp;row=777&amp;col=6&amp;number=4.3&amp;sourceID=14","4.3")</f>
        <v>4.3</v>
      </c>
      <c r="G777" s="4" t="str">
        <f>HYPERLINK("http://141.218.60.56/~jnz1568/getInfo.php?workbook=14_06.xlsx&amp;sheet=U0&amp;row=777&amp;col=7&amp;number=0.0129&amp;sourceID=14","0.0129")</f>
        <v>0.0129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HYPERLINK("http://141.218.60.56/~jnz1568/getInfo.php?workbook=14_06.xlsx&amp;sheet=U0&amp;row=778&amp;col=6&amp;number=4.4&amp;sourceID=14","4.4")</f>
        <v>4.4</v>
      </c>
      <c r="G778" s="4" t="str">
        <f>HYPERLINK("http://141.218.60.56/~jnz1568/getInfo.php?workbook=14_06.xlsx&amp;sheet=U0&amp;row=778&amp;col=7&amp;number=0.0129&amp;sourceID=14","0.0129")</f>
        <v>0.0129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HYPERLINK("http://141.218.60.56/~jnz1568/getInfo.php?workbook=14_06.xlsx&amp;sheet=U0&amp;row=779&amp;col=6&amp;number=4.5&amp;sourceID=14","4.5")</f>
        <v>4.5</v>
      </c>
      <c r="G779" s="4" t="str">
        <f>HYPERLINK("http://141.218.60.56/~jnz1568/getInfo.php?workbook=14_06.xlsx&amp;sheet=U0&amp;row=779&amp;col=7&amp;number=0.0129&amp;sourceID=14","0.0129")</f>
        <v>0.0129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HYPERLINK("http://141.218.60.56/~jnz1568/getInfo.php?workbook=14_06.xlsx&amp;sheet=U0&amp;row=780&amp;col=6&amp;number=4.6&amp;sourceID=14","4.6")</f>
        <v>4.6</v>
      </c>
      <c r="G780" s="4" t="str">
        <f>HYPERLINK("http://141.218.60.56/~jnz1568/getInfo.php?workbook=14_06.xlsx&amp;sheet=U0&amp;row=780&amp;col=7&amp;number=0.0128&amp;sourceID=14","0.0128")</f>
        <v>0.0128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HYPERLINK("http://141.218.60.56/~jnz1568/getInfo.php?workbook=14_06.xlsx&amp;sheet=U0&amp;row=781&amp;col=6&amp;number=4.7&amp;sourceID=14","4.7")</f>
        <v>4.7</v>
      </c>
      <c r="G781" s="4" t="str">
        <f>HYPERLINK("http://141.218.60.56/~jnz1568/getInfo.php?workbook=14_06.xlsx&amp;sheet=U0&amp;row=781&amp;col=7&amp;number=0.0128&amp;sourceID=14","0.0128")</f>
        <v>0.0128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HYPERLINK("http://141.218.60.56/~jnz1568/getInfo.php?workbook=14_06.xlsx&amp;sheet=U0&amp;row=782&amp;col=6&amp;number=4.8&amp;sourceID=14","4.8")</f>
        <v>4.8</v>
      </c>
      <c r="G782" s="4" t="str">
        <f>HYPERLINK("http://141.218.60.56/~jnz1568/getInfo.php?workbook=14_06.xlsx&amp;sheet=U0&amp;row=782&amp;col=7&amp;number=0.0127&amp;sourceID=14","0.0127")</f>
        <v>0.0127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HYPERLINK("http://141.218.60.56/~jnz1568/getInfo.php?workbook=14_06.xlsx&amp;sheet=U0&amp;row=783&amp;col=6&amp;number=4.9&amp;sourceID=14","4.9")</f>
        <v>4.9</v>
      </c>
      <c r="G783" s="4" t="str">
        <f>HYPERLINK("http://141.218.60.56/~jnz1568/getInfo.php?workbook=14_06.xlsx&amp;sheet=U0&amp;row=783&amp;col=7&amp;number=0.0126&amp;sourceID=14","0.0126")</f>
        <v>0.0126</v>
      </c>
    </row>
    <row r="784" spans="1:7">
      <c r="A784" s="3">
        <v>14</v>
      </c>
      <c r="B784" s="3">
        <v>6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HYPERLINK("http://141.218.60.56/~jnz1568/getInfo.php?workbook=14_06.xlsx&amp;sheet=U0&amp;row=784&amp;col=6&amp;number=3&amp;sourceID=14","3")</f>
        <v>3</v>
      </c>
      <c r="G784" s="4" t="str">
        <f>HYPERLINK("http://141.218.60.56/~jnz1568/getInfo.php?workbook=14_06.xlsx&amp;sheet=U0&amp;row=784&amp;col=7&amp;number=0.00502&amp;sourceID=14","0.00502")</f>
        <v>0.00502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HYPERLINK("http://141.218.60.56/~jnz1568/getInfo.php?workbook=14_06.xlsx&amp;sheet=U0&amp;row=785&amp;col=6&amp;number=3.1&amp;sourceID=14","3.1")</f>
        <v>3.1</v>
      </c>
      <c r="G785" s="4" t="str">
        <f>HYPERLINK("http://141.218.60.56/~jnz1568/getInfo.php?workbook=14_06.xlsx&amp;sheet=U0&amp;row=785&amp;col=7&amp;number=0.00502&amp;sourceID=14","0.00502")</f>
        <v>0.00502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HYPERLINK("http://141.218.60.56/~jnz1568/getInfo.php?workbook=14_06.xlsx&amp;sheet=U0&amp;row=786&amp;col=6&amp;number=3.2&amp;sourceID=14","3.2")</f>
        <v>3.2</v>
      </c>
      <c r="G786" s="4" t="str">
        <f>HYPERLINK("http://141.218.60.56/~jnz1568/getInfo.php?workbook=14_06.xlsx&amp;sheet=U0&amp;row=786&amp;col=7&amp;number=0.00502&amp;sourceID=14","0.00502")</f>
        <v>0.00502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HYPERLINK("http://141.218.60.56/~jnz1568/getInfo.php?workbook=14_06.xlsx&amp;sheet=U0&amp;row=787&amp;col=6&amp;number=3.3&amp;sourceID=14","3.3")</f>
        <v>3.3</v>
      </c>
      <c r="G787" s="4" t="str">
        <f>HYPERLINK("http://141.218.60.56/~jnz1568/getInfo.php?workbook=14_06.xlsx&amp;sheet=U0&amp;row=787&amp;col=7&amp;number=0.00502&amp;sourceID=14","0.00502")</f>
        <v>0.00502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HYPERLINK("http://141.218.60.56/~jnz1568/getInfo.php?workbook=14_06.xlsx&amp;sheet=U0&amp;row=788&amp;col=6&amp;number=3.4&amp;sourceID=14","3.4")</f>
        <v>3.4</v>
      </c>
      <c r="G788" s="4" t="str">
        <f>HYPERLINK("http://141.218.60.56/~jnz1568/getInfo.php?workbook=14_06.xlsx&amp;sheet=U0&amp;row=788&amp;col=7&amp;number=0.00502&amp;sourceID=14","0.00502")</f>
        <v>0.00502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HYPERLINK("http://141.218.60.56/~jnz1568/getInfo.php?workbook=14_06.xlsx&amp;sheet=U0&amp;row=789&amp;col=6&amp;number=3.5&amp;sourceID=14","3.5")</f>
        <v>3.5</v>
      </c>
      <c r="G789" s="4" t="str">
        <f>HYPERLINK("http://141.218.60.56/~jnz1568/getInfo.php?workbook=14_06.xlsx&amp;sheet=U0&amp;row=789&amp;col=7&amp;number=0.00502&amp;sourceID=14","0.00502")</f>
        <v>0.00502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HYPERLINK("http://141.218.60.56/~jnz1568/getInfo.php?workbook=14_06.xlsx&amp;sheet=U0&amp;row=790&amp;col=6&amp;number=3.6&amp;sourceID=14","3.6")</f>
        <v>3.6</v>
      </c>
      <c r="G790" s="4" t="str">
        <f>HYPERLINK("http://141.218.60.56/~jnz1568/getInfo.php?workbook=14_06.xlsx&amp;sheet=U0&amp;row=790&amp;col=7&amp;number=0.00502&amp;sourceID=14","0.00502")</f>
        <v>0.00502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HYPERLINK("http://141.218.60.56/~jnz1568/getInfo.php?workbook=14_06.xlsx&amp;sheet=U0&amp;row=791&amp;col=6&amp;number=3.7&amp;sourceID=14","3.7")</f>
        <v>3.7</v>
      </c>
      <c r="G791" s="4" t="str">
        <f>HYPERLINK("http://141.218.60.56/~jnz1568/getInfo.php?workbook=14_06.xlsx&amp;sheet=U0&amp;row=791&amp;col=7&amp;number=0.00502&amp;sourceID=14","0.00502")</f>
        <v>0.00502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HYPERLINK("http://141.218.60.56/~jnz1568/getInfo.php?workbook=14_06.xlsx&amp;sheet=U0&amp;row=792&amp;col=6&amp;number=3.8&amp;sourceID=14","3.8")</f>
        <v>3.8</v>
      </c>
      <c r="G792" s="4" t="str">
        <f>HYPERLINK("http://141.218.60.56/~jnz1568/getInfo.php?workbook=14_06.xlsx&amp;sheet=U0&amp;row=792&amp;col=7&amp;number=0.00502&amp;sourceID=14","0.00502")</f>
        <v>0.00502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HYPERLINK("http://141.218.60.56/~jnz1568/getInfo.php?workbook=14_06.xlsx&amp;sheet=U0&amp;row=793&amp;col=6&amp;number=3.9&amp;sourceID=14","3.9")</f>
        <v>3.9</v>
      </c>
      <c r="G793" s="4" t="str">
        <f>HYPERLINK("http://141.218.60.56/~jnz1568/getInfo.php?workbook=14_06.xlsx&amp;sheet=U0&amp;row=793&amp;col=7&amp;number=0.00501&amp;sourceID=14","0.00501")</f>
        <v>0.00501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HYPERLINK("http://141.218.60.56/~jnz1568/getInfo.php?workbook=14_06.xlsx&amp;sheet=U0&amp;row=794&amp;col=6&amp;number=4&amp;sourceID=14","4")</f>
        <v>4</v>
      </c>
      <c r="G794" s="4" t="str">
        <f>HYPERLINK("http://141.218.60.56/~jnz1568/getInfo.php?workbook=14_06.xlsx&amp;sheet=U0&amp;row=794&amp;col=7&amp;number=0.00501&amp;sourceID=14","0.00501")</f>
        <v>0.00501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HYPERLINK("http://141.218.60.56/~jnz1568/getInfo.php?workbook=14_06.xlsx&amp;sheet=U0&amp;row=795&amp;col=6&amp;number=4.1&amp;sourceID=14","4.1")</f>
        <v>4.1</v>
      </c>
      <c r="G795" s="4" t="str">
        <f>HYPERLINK("http://141.218.60.56/~jnz1568/getInfo.php?workbook=14_06.xlsx&amp;sheet=U0&amp;row=795&amp;col=7&amp;number=0.00501&amp;sourceID=14","0.00501")</f>
        <v>0.00501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HYPERLINK("http://141.218.60.56/~jnz1568/getInfo.php?workbook=14_06.xlsx&amp;sheet=U0&amp;row=796&amp;col=6&amp;number=4.2&amp;sourceID=14","4.2")</f>
        <v>4.2</v>
      </c>
      <c r="G796" s="4" t="str">
        <f>HYPERLINK("http://141.218.60.56/~jnz1568/getInfo.php?workbook=14_06.xlsx&amp;sheet=U0&amp;row=796&amp;col=7&amp;number=0.005&amp;sourceID=14","0.005")</f>
        <v>0.005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HYPERLINK("http://141.218.60.56/~jnz1568/getInfo.php?workbook=14_06.xlsx&amp;sheet=U0&amp;row=797&amp;col=6&amp;number=4.3&amp;sourceID=14","4.3")</f>
        <v>4.3</v>
      </c>
      <c r="G797" s="4" t="str">
        <f>HYPERLINK("http://141.218.60.56/~jnz1568/getInfo.php?workbook=14_06.xlsx&amp;sheet=U0&amp;row=797&amp;col=7&amp;number=0.005&amp;sourceID=14","0.005")</f>
        <v>0.005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HYPERLINK("http://141.218.60.56/~jnz1568/getInfo.php?workbook=14_06.xlsx&amp;sheet=U0&amp;row=798&amp;col=6&amp;number=4.4&amp;sourceID=14","4.4")</f>
        <v>4.4</v>
      </c>
      <c r="G798" s="4" t="str">
        <f>HYPERLINK("http://141.218.60.56/~jnz1568/getInfo.php?workbook=14_06.xlsx&amp;sheet=U0&amp;row=798&amp;col=7&amp;number=0.00499&amp;sourceID=14","0.00499")</f>
        <v>0.00499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HYPERLINK("http://141.218.60.56/~jnz1568/getInfo.php?workbook=14_06.xlsx&amp;sheet=U0&amp;row=799&amp;col=6&amp;number=4.5&amp;sourceID=14","4.5")</f>
        <v>4.5</v>
      </c>
      <c r="G799" s="4" t="str">
        <f>HYPERLINK("http://141.218.60.56/~jnz1568/getInfo.php?workbook=14_06.xlsx&amp;sheet=U0&amp;row=799&amp;col=7&amp;number=0.00498&amp;sourceID=14","0.00498")</f>
        <v>0.00498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HYPERLINK("http://141.218.60.56/~jnz1568/getInfo.php?workbook=14_06.xlsx&amp;sheet=U0&amp;row=800&amp;col=6&amp;number=4.6&amp;sourceID=14","4.6")</f>
        <v>4.6</v>
      </c>
      <c r="G800" s="4" t="str">
        <f>HYPERLINK("http://141.218.60.56/~jnz1568/getInfo.php?workbook=14_06.xlsx&amp;sheet=U0&amp;row=800&amp;col=7&amp;number=0.00497&amp;sourceID=14","0.00497")</f>
        <v>0.00497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HYPERLINK("http://141.218.60.56/~jnz1568/getInfo.php?workbook=14_06.xlsx&amp;sheet=U0&amp;row=801&amp;col=6&amp;number=4.7&amp;sourceID=14","4.7")</f>
        <v>4.7</v>
      </c>
      <c r="G801" s="4" t="str">
        <f>HYPERLINK("http://141.218.60.56/~jnz1568/getInfo.php?workbook=14_06.xlsx&amp;sheet=U0&amp;row=801&amp;col=7&amp;number=0.00496&amp;sourceID=14","0.00496")</f>
        <v>0.00496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HYPERLINK("http://141.218.60.56/~jnz1568/getInfo.php?workbook=14_06.xlsx&amp;sheet=U0&amp;row=802&amp;col=6&amp;number=4.8&amp;sourceID=14","4.8")</f>
        <v>4.8</v>
      </c>
      <c r="G802" s="4" t="str">
        <f>HYPERLINK("http://141.218.60.56/~jnz1568/getInfo.php?workbook=14_06.xlsx&amp;sheet=U0&amp;row=802&amp;col=7&amp;number=0.00494&amp;sourceID=14","0.00494")</f>
        <v>0.00494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HYPERLINK("http://141.218.60.56/~jnz1568/getInfo.php?workbook=14_06.xlsx&amp;sheet=U0&amp;row=803&amp;col=6&amp;number=4.9&amp;sourceID=14","4.9")</f>
        <v>4.9</v>
      </c>
      <c r="G803" s="4" t="str">
        <f>HYPERLINK("http://141.218.60.56/~jnz1568/getInfo.php?workbook=14_06.xlsx&amp;sheet=U0&amp;row=803&amp;col=7&amp;number=0.00492&amp;sourceID=14","0.00492")</f>
        <v>0.00492</v>
      </c>
    </row>
    <row r="804" spans="1:7">
      <c r="A804" s="3">
        <v>14</v>
      </c>
      <c r="B804" s="3">
        <v>6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HYPERLINK("http://141.218.60.56/~jnz1568/getInfo.php?workbook=14_06.xlsx&amp;sheet=U0&amp;row=804&amp;col=6&amp;number=3&amp;sourceID=14","3")</f>
        <v>3</v>
      </c>
      <c r="G804" s="4" t="str">
        <f>HYPERLINK("http://141.218.60.56/~jnz1568/getInfo.php?workbook=14_06.xlsx&amp;sheet=U0&amp;row=804&amp;col=7&amp;number=0.00231&amp;sourceID=14","0.00231")</f>
        <v>0.00231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HYPERLINK("http://141.218.60.56/~jnz1568/getInfo.php?workbook=14_06.xlsx&amp;sheet=U0&amp;row=805&amp;col=6&amp;number=3.1&amp;sourceID=14","3.1")</f>
        <v>3.1</v>
      </c>
      <c r="G805" s="4" t="str">
        <f>HYPERLINK("http://141.218.60.56/~jnz1568/getInfo.php?workbook=14_06.xlsx&amp;sheet=U0&amp;row=805&amp;col=7&amp;number=0.00231&amp;sourceID=14","0.00231")</f>
        <v>0.00231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HYPERLINK("http://141.218.60.56/~jnz1568/getInfo.php?workbook=14_06.xlsx&amp;sheet=U0&amp;row=806&amp;col=6&amp;number=3.2&amp;sourceID=14","3.2")</f>
        <v>3.2</v>
      </c>
      <c r="G806" s="4" t="str">
        <f>HYPERLINK("http://141.218.60.56/~jnz1568/getInfo.php?workbook=14_06.xlsx&amp;sheet=U0&amp;row=806&amp;col=7&amp;number=0.00231&amp;sourceID=14","0.00231")</f>
        <v>0.00231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HYPERLINK("http://141.218.60.56/~jnz1568/getInfo.php?workbook=14_06.xlsx&amp;sheet=U0&amp;row=807&amp;col=6&amp;number=3.3&amp;sourceID=14","3.3")</f>
        <v>3.3</v>
      </c>
      <c r="G807" s="4" t="str">
        <f>HYPERLINK("http://141.218.60.56/~jnz1568/getInfo.php?workbook=14_06.xlsx&amp;sheet=U0&amp;row=807&amp;col=7&amp;number=0.0023&amp;sourceID=14","0.0023")</f>
        <v>0.0023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HYPERLINK("http://141.218.60.56/~jnz1568/getInfo.php?workbook=14_06.xlsx&amp;sheet=U0&amp;row=808&amp;col=6&amp;number=3.4&amp;sourceID=14","3.4")</f>
        <v>3.4</v>
      </c>
      <c r="G808" s="4" t="str">
        <f>HYPERLINK("http://141.218.60.56/~jnz1568/getInfo.php?workbook=14_06.xlsx&amp;sheet=U0&amp;row=808&amp;col=7&amp;number=0.0023&amp;sourceID=14","0.0023")</f>
        <v>0.0023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HYPERLINK("http://141.218.60.56/~jnz1568/getInfo.php?workbook=14_06.xlsx&amp;sheet=U0&amp;row=809&amp;col=6&amp;number=3.5&amp;sourceID=14","3.5")</f>
        <v>3.5</v>
      </c>
      <c r="G809" s="4" t="str">
        <f>HYPERLINK("http://141.218.60.56/~jnz1568/getInfo.php?workbook=14_06.xlsx&amp;sheet=U0&amp;row=809&amp;col=7&amp;number=0.0023&amp;sourceID=14","0.0023")</f>
        <v>0.0023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HYPERLINK("http://141.218.60.56/~jnz1568/getInfo.php?workbook=14_06.xlsx&amp;sheet=U0&amp;row=810&amp;col=6&amp;number=3.6&amp;sourceID=14","3.6")</f>
        <v>3.6</v>
      </c>
      <c r="G810" s="4" t="str">
        <f>HYPERLINK("http://141.218.60.56/~jnz1568/getInfo.php?workbook=14_06.xlsx&amp;sheet=U0&amp;row=810&amp;col=7&amp;number=0.0023&amp;sourceID=14","0.0023")</f>
        <v>0.0023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HYPERLINK("http://141.218.60.56/~jnz1568/getInfo.php?workbook=14_06.xlsx&amp;sheet=U0&amp;row=811&amp;col=6&amp;number=3.7&amp;sourceID=14","3.7")</f>
        <v>3.7</v>
      </c>
      <c r="G811" s="4" t="str">
        <f>HYPERLINK("http://141.218.60.56/~jnz1568/getInfo.php?workbook=14_06.xlsx&amp;sheet=U0&amp;row=811&amp;col=7&amp;number=0.0023&amp;sourceID=14","0.0023")</f>
        <v>0.0023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HYPERLINK("http://141.218.60.56/~jnz1568/getInfo.php?workbook=14_06.xlsx&amp;sheet=U0&amp;row=812&amp;col=6&amp;number=3.8&amp;sourceID=14","3.8")</f>
        <v>3.8</v>
      </c>
      <c r="G812" s="4" t="str">
        <f>HYPERLINK("http://141.218.60.56/~jnz1568/getInfo.php?workbook=14_06.xlsx&amp;sheet=U0&amp;row=812&amp;col=7&amp;number=0.0023&amp;sourceID=14","0.0023")</f>
        <v>0.0023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HYPERLINK("http://141.218.60.56/~jnz1568/getInfo.php?workbook=14_06.xlsx&amp;sheet=U0&amp;row=813&amp;col=6&amp;number=3.9&amp;sourceID=14","3.9")</f>
        <v>3.9</v>
      </c>
      <c r="G813" s="4" t="str">
        <f>HYPERLINK("http://141.218.60.56/~jnz1568/getInfo.php?workbook=14_06.xlsx&amp;sheet=U0&amp;row=813&amp;col=7&amp;number=0.0023&amp;sourceID=14","0.0023")</f>
        <v>0.0023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HYPERLINK("http://141.218.60.56/~jnz1568/getInfo.php?workbook=14_06.xlsx&amp;sheet=U0&amp;row=814&amp;col=6&amp;number=4&amp;sourceID=14","4")</f>
        <v>4</v>
      </c>
      <c r="G814" s="4" t="str">
        <f>HYPERLINK("http://141.218.60.56/~jnz1568/getInfo.php?workbook=14_06.xlsx&amp;sheet=U0&amp;row=814&amp;col=7&amp;number=0.0023&amp;sourceID=14","0.0023")</f>
        <v>0.0023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HYPERLINK("http://141.218.60.56/~jnz1568/getInfo.php?workbook=14_06.xlsx&amp;sheet=U0&amp;row=815&amp;col=6&amp;number=4.1&amp;sourceID=14","4.1")</f>
        <v>4.1</v>
      </c>
      <c r="G815" s="4" t="str">
        <f>HYPERLINK("http://141.218.60.56/~jnz1568/getInfo.php?workbook=14_06.xlsx&amp;sheet=U0&amp;row=815&amp;col=7&amp;number=0.00229&amp;sourceID=14","0.00229")</f>
        <v>0.00229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HYPERLINK("http://141.218.60.56/~jnz1568/getInfo.php?workbook=14_06.xlsx&amp;sheet=U0&amp;row=816&amp;col=6&amp;number=4.2&amp;sourceID=14","4.2")</f>
        <v>4.2</v>
      </c>
      <c r="G816" s="4" t="str">
        <f>HYPERLINK("http://141.218.60.56/~jnz1568/getInfo.php?workbook=14_06.xlsx&amp;sheet=U0&amp;row=816&amp;col=7&amp;number=0.00229&amp;sourceID=14","0.00229")</f>
        <v>0.00229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HYPERLINK("http://141.218.60.56/~jnz1568/getInfo.php?workbook=14_06.xlsx&amp;sheet=U0&amp;row=817&amp;col=6&amp;number=4.3&amp;sourceID=14","4.3")</f>
        <v>4.3</v>
      </c>
      <c r="G817" s="4" t="str">
        <f>HYPERLINK("http://141.218.60.56/~jnz1568/getInfo.php?workbook=14_06.xlsx&amp;sheet=U0&amp;row=817&amp;col=7&amp;number=0.00228&amp;sourceID=14","0.00228")</f>
        <v>0.00228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HYPERLINK("http://141.218.60.56/~jnz1568/getInfo.php?workbook=14_06.xlsx&amp;sheet=U0&amp;row=818&amp;col=6&amp;number=4.4&amp;sourceID=14","4.4")</f>
        <v>4.4</v>
      </c>
      <c r="G818" s="4" t="str">
        <f>HYPERLINK("http://141.218.60.56/~jnz1568/getInfo.php?workbook=14_06.xlsx&amp;sheet=U0&amp;row=818&amp;col=7&amp;number=0.00228&amp;sourceID=14","0.00228")</f>
        <v>0.00228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HYPERLINK("http://141.218.60.56/~jnz1568/getInfo.php?workbook=14_06.xlsx&amp;sheet=U0&amp;row=819&amp;col=6&amp;number=4.5&amp;sourceID=14","4.5")</f>
        <v>4.5</v>
      </c>
      <c r="G819" s="4" t="str">
        <f>HYPERLINK("http://141.218.60.56/~jnz1568/getInfo.php?workbook=14_06.xlsx&amp;sheet=U0&amp;row=819&amp;col=7&amp;number=0.00227&amp;sourceID=14","0.00227")</f>
        <v>0.00227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HYPERLINK("http://141.218.60.56/~jnz1568/getInfo.php?workbook=14_06.xlsx&amp;sheet=U0&amp;row=820&amp;col=6&amp;number=4.6&amp;sourceID=14","4.6")</f>
        <v>4.6</v>
      </c>
      <c r="G820" s="4" t="str">
        <f>HYPERLINK("http://141.218.60.56/~jnz1568/getInfo.php?workbook=14_06.xlsx&amp;sheet=U0&amp;row=820&amp;col=7&amp;number=0.00226&amp;sourceID=14","0.00226")</f>
        <v>0.00226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HYPERLINK("http://141.218.60.56/~jnz1568/getInfo.php?workbook=14_06.xlsx&amp;sheet=U0&amp;row=821&amp;col=6&amp;number=4.7&amp;sourceID=14","4.7")</f>
        <v>4.7</v>
      </c>
      <c r="G821" s="4" t="str">
        <f>HYPERLINK("http://141.218.60.56/~jnz1568/getInfo.php?workbook=14_06.xlsx&amp;sheet=U0&amp;row=821&amp;col=7&amp;number=0.00225&amp;sourceID=14","0.00225")</f>
        <v>0.00225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HYPERLINK("http://141.218.60.56/~jnz1568/getInfo.php?workbook=14_06.xlsx&amp;sheet=U0&amp;row=822&amp;col=6&amp;number=4.8&amp;sourceID=14","4.8")</f>
        <v>4.8</v>
      </c>
      <c r="G822" s="4" t="str">
        <f>HYPERLINK("http://141.218.60.56/~jnz1568/getInfo.php?workbook=14_06.xlsx&amp;sheet=U0&amp;row=822&amp;col=7&amp;number=0.00224&amp;sourceID=14","0.00224")</f>
        <v>0.00224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HYPERLINK("http://141.218.60.56/~jnz1568/getInfo.php?workbook=14_06.xlsx&amp;sheet=U0&amp;row=823&amp;col=6&amp;number=4.9&amp;sourceID=14","4.9")</f>
        <v>4.9</v>
      </c>
      <c r="G823" s="4" t="str">
        <f>HYPERLINK("http://141.218.60.56/~jnz1568/getInfo.php?workbook=14_06.xlsx&amp;sheet=U0&amp;row=823&amp;col=7&amp;number=0.00222&amp;sourceID=14","0.00222")</f>
        <v>0.00222</v>
      </c>
    </row>
    <row r="824" spans="1:7">
      <c r="A824" s="3">
        <v>14</v>
      </c>
      <c r="B824" s="3">
        <v>6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HYPERLINK("http://141.218.60.56/~jnz1568/getInfo.php?workbook=14_06.xlsx&amp;sheet=U0&amp;row=824&amp;col=6&amp;number=3&amp;sourceID=14","3")</f>
        <v>3</v>
      </c>
      <c r="G824" s="4" t="str">
        <f>HYPERLINK("http://141.218.60.56/~jnz1568/getInfo.php?workbook=14_06.xlsx&amp;sheet=U0&amp;row=824&amp;col=7&amp;number=0.00929&amp;sourceID=14","0.00929")</f>
        <v>0.00929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HYPERLINK("http://141.218.60.56/~jnz1568/getInfo.php?workbook=14_06.xlsx&amp;sheet=U0&amp;row=825&amp;col=6&amp;number=3.1&amp;sourceID=14","3.1")</f>
        <v>3.1</v>
      </c>
      <c r="G825" s="4" t="str">
        <f>HYPERLINK("http://141.218.60.56/~jnz1568/getInfo.php?workbook=14_06.xlsx&amp;sheet=U0&amp;row=825&amp;col=7&amp;number=0.00929&amp;sourceID=14","0.00929")</f>
        <v>0.00929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HYPERLINK("http://141.218.60.56/~jnz1568/getInfo.php?workbook=14_06.xlsx&amp;sheet=U0&amp;row=826&amp;col=6&amp;number=3.2&amp;sourceID=14","3.2")</f>
        <v>3.2</v>
      </c>
      <c r="G826" s="4" t="str">
        <f>HYPERLINK("http://141.218.60.56/~jnz1568/getInfo.php?workbook=14_06.xlsx&amp;sheet=U0&amp;row=826&amp;col=7&amp;number=0.00929&amp;sourceID=14","0.00929")</f>
        <v>0.00929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HYPERLINK("http://141.218.60.56/~jnz1568/getInfo.php?workbook=14_06.xlsx&amp;sheet=U0&amp;row=827&amp;col=6&amp;number=3.3&amp;sourceID=14","3.3")</f>
        <v>3.3</v>
      </c>
      <c r="G827" s="4" t="str">
        <f>HYPERLINK("http://141.218.60.56/~jnz1568/getInfo.php?workbook=14_06.xlsx&amp;sheet=U0&amp;row=827&amp;col=7&amp;number=0.0093&amp;sourceID=14","0.0093")</f>
        <v>0.0093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HYPERLINK("http://141.218.60.56/~jnz1568/getInfo.php?workbook=14_06.xlsx&amp;sheet=U0&amp;row=828&amp;col=6&amp;number=3.4&amp;sourceID=14","3.4")</f>
        <v>3.4</v>
      </c>
      <c r="G828" s="4" t="str">
        <f>HYPERLINK("http://141.218.60.56/~jnz1568/getInfo.php?workbook=14_06.xlsx&amp;sheet=U0&amp;row=828&amp;col=7&amp;number=0.0093&amp;sourceID=14","0.0093")</f>
        <v>0.0093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HYPERLINK("http://141.218.60.56/~jnz1568/getInfo.php?workbook=14_06.xlsx&amp;sheet=U0&amp;row=829&amp;col=6&amp;number=3.5&amp;sourceID=14","3.5")</f>
        <v>3.5</v>
      </c>
      <c r="G829" s="4" t="str">
        <f>HYPERLINK("http://141.218.60.56/~jnz1568/getInfo.php?workbook=14_06.xlsx&amp;sheet=U0&amp;row=829&amp;col=7&amp;number=0.0093&amp;sourceID=14","0.0093")</f>
        <v>0.0093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HYPERLINK("http://141.218.60.56/~jnz1568/getInfo.php?workbook=14_06.xlsx&amp;sheet=U0&amp;row=830&amp;col=6&amp;number=3.6&amp;sourceID=14","3.6")</f>
        <v>3.6</v>
      </c>
      <c r="G830" s="4" t="str">
        <f>HYPERLINK("http://141.218.60.56/~jnz1568/getInfo.php?workbook=14_06.xlsx&amp;sheet=U0&amp;row=830&amp;col=7&amp;number=0.0093&amp;sourceID=14","0.0093")</f>
        <v>0.0093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HYPERLINK("http://141.218.60.56/~jnz1568/getInfo.php?workbook=14_06.xlsx&amp;sheet=U0&amp;row=831&amp;col=6&amp;number=3.7&amp;sourceID=14","3.7")</f>
        <v>3.7</v>
      </c>
      <c r="G831" s="4" t="str">
        <f>HYPERLINK("http://141.218.60.56/~jnz1568/getInfo.php?workbook=14_06.xlsx&amp;sheet=U0&amp;row=831&amp;col=7&amp;number=0.0093&amp;sourceID=14","0.0093")</f>
        <v>0.0093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HYPERLINK("http://141.218.60.56/~jnz1568/getInfo.php?workbook=14_06.xlsx&amp;sheet=U0&amp;row=832&amp;col=6&amp;number=3.8&amp;sourceID=14","3.8")</f>
        <v>3.8</v>
      </c>
      <c r="G832" s="4" t="str">
        <f>HYPERLINK("http://141.218.60.56/~jnz1568/getInfo.php?workbook=14_06.xlsx&amp;sheet=U0&amp;row=832&amp;col=7&amp;number=0.00931&amp;sourceID=14","0.00931")</f>
        <v>0.00931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HYPERLINK("http://141.218.60.56/~jnz1568/getInfo.php?workbook=14_06.xlsx&amp;sheet=U0&amp;row=833&amp;col=6&amp;number=3.9&amp;sourceID=14","3.9")</f>
        <v>3.9</v>
      </c>
      <c r="G833" s="4" t="str">
        <f>HYPERLINK("http://141.218.60.56/~jnz1568/getInfo.php?workbook=14_06.xlsx&amp;sheet=U0&amp;row=833&amp;col=7&amp;number=0.00931&amp;sourceID=14","0.00931")</f>
        <v>0.00931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HYPERLINK("http://141.218.60.56/~jnz1568/getInfo.php?workbook=14_06.xlsx&amp;sheet=U0&amp;row=834&amp;col=6&amp;number=4&amp;sourceID=14","4")</f>
        <v>4</v>
      </c>
      <c r="G834" s="4" t="str">
        <f>HYPERLINK("http://141.218.60.56/~jnz1568/getInfo.php?workbook=14_06.xlsx&amp;sheet=U0&amp;row=834&amp;col=7&amp;number=0.00932&amp;sourceID=14","0.00932")</f>
        <v>0.00932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HYPERLINK("http://141.218.60.56/~jnz1568/getInfo.php?workbook=14_06.xlsx&amp;sheet=U0&amp;row=835&amp;col=6&amp;number=4.1&amp;sourceID=14","4.1")</f>
        <v>4.1</v>
      </c>
      <c r="G835" s="4" t="str">
        <f>HYPERLINK("http://141.218.60.56/~jnz1568/getInfo.php?workbook=14_06.xlsx&amp;sheet=U0&amp;row=835&amp;col=7&amp;number=0.00932&amp;sourceID=14","0.00932")</f>
        <v>0.00932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HYPERLINK("http://141.218.60.56/~jnz1568/getInfo.php?workbook=14_06.xlsx&amp;sheet=U0&amp;row=836&amp;col=6&amp;number=4.2&amp;sourceID=14","4.2")</f>
        <v>4.2</v>
      </c>
      <c r="G836" s="4" t="str">
        <f>HYPERLINK("http://141.218.60.56/~jnz1568/getInfo.php?workbook=14_06.xlsx&amp;sheet=U0&amp;row=836&amp;col=7&amp;number=0.00933&amp;sourceID=14","0.00933")</f>
        <v>0.00933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HYPERLINK("http://141.218.60.56/~jnz1568/getInfo.php?workbook=14_06.xlsx&amp;sheet=U0&amp;row=837&amp;col=6&amp;number=4.3&amp;sourceID=14","4.3")</f>
        <v>4.3</v>
      </c>
      <c r="G837" s="4" t="str">
        <f>HYPERLINK("http://141.218.60.56/~jnz1568/getInfo.php?workbook=14_06.xlsx&amp;sheet=U0&amp;row=837&amp;col=7&amp;number=0.00934&amp;sourceID=14","0.00934")</f>
        <v>0.00934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HYPERLINK("http://141.218.60.56/~jnz1568/getInfo.php?workbook=14_06.xlsx&amp;sheet=U0&amp;row=838&amp;col=6&amp;number=4.4&amp;sourceID=14","4.4")</f>
        <v>4.4</v>
      </c>
      <c r="G838" s="4" t="str">
        <f>HYPERLINK("http://141.218.60.56/~jnz1568/getInfo.php?workbook=14_06.xlsx&amp;sheet=U0&amp;row=838&amp;col=7&amp;number=0.00936&amp;sourceID=14","0.00936")</f>
        <v>0.00936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HYPERLINK("http://141.218.60.56/~jnz1568/getInfo.php?workbook=14_06.xlsx&amp;sheet=U0&amp;row=839&amp;col=6&amp;number=4.5&amp;sourceID=14","4.5")</f>
        <v>4.5</v>
      </c>
      <c r="G839" s="4" t="str">
        <f>HYPERLINK("http://141.218.60.56/~jnz1568/getInfo.php?workbook=14_06.xlsx&amp;sheet=U0&amp;row=839&amp;col=7&amp;number=0.00938&amp;sourceID=14","0.00938")</f>
        <v>0.00938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HYPERLINK("http://141.218.60.56/~jnz1568/getInfo.php?workbook=14_06.xlsx&amp;sheet=U0&amp;row=840&amp;col=6&amp;number=4.6&amp;sourceID=14","4.6")</f>
        <v>4.6</v>
      </c>
      <c r="G840" s="4" t="str">
        <f>HYPERLINK("http://141.218.60.56/~jnz1568/getInfo.php?workbook=14_06.xlsx&amp;sheet=U0&amp;row=840&amp;col=7&amp;number=0.0094&amp;sourceID=14","0.0094")</f>
        <v>0.0094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HYPERLINK("http://141.218.60.56/~jnz1568/getInfo.php?workbook=14_06.xlsx&amp;sheet=U0&amp;row=841&amp;col=6&amp;number=4.7&amp;sourceID=14","4.7")</f>
        <v>4.7</v>
      </c>
      <c r="G841" s="4" t="str">
        <f>HYPERLINK("http://141.218.60.56/~jnz1568/getInfo.php?workbook=14_06.xlsx&amp;sheet=U0&amp;row=841&amp;col=7&amp;number=0.00943&amp;sourceID=14","0.00943")</f>
        <v>0.00943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HYPERLINK("http://141.218.60.56/~jnz1568/getInfo.php?workbook=14_06.xlsx&amp;sheet=U0&amp;row=842&amp;col=6&amp;number=4.8&amp;sourceID=14","4.8")</f>
        <v>4.8</v>
      </c>
      <c r="G842" s="4" t="str">
        <f>HYPERLINK("http://141.218.60.56/~jnz1568/getInfo.php?workbook=14_06.xlsx&amp;sheet=U0&amp;row=842&amp;col=7&amp;number=0.00946&amp;sourceID=14","0.00946")</f>
        <v>0.00946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HYPERLINK("http://141.218.60.56/~jnz1568/getInfo.php?workbook=14_06.xlsx&amp;sheet=U0&amp;row=843&amp;col=6&amp;number=4.9&amp;sourceID=14","4.9")</f>
        <v>4.9</v>
      </c>
      <c r="G843" s="4" t="str">
        <f>HYPERLINK("http://141.218.60.56/~jnz1568/getInfo.php?workbook=14_06.xlsx&amp;sheet=U0&amp;row=843&amp;col=7&amp;number=0.0095&amp;sourceID=14","0.0095")</f>
        <v>0.0095</v>
      </c>
    </row>
    <row r="844" spans="1:7">
      <c r="A844" s="3">
        <v>14</v>
      </c>
      <c r="B844" s="3">
        <v>6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HYPERLINK("http://141.218.60.56/~jnz1568/getInfo.php?workbook=14_06.xlsx&amp;sheet=U0&amp;row=844&amp;col=6&amp;number=3&amp;sourceID=14","3")</f>
        <v>3</v>
      </c>
      <c r="G844" s="4" t="str">
        <f>HYPERLINK("http://141.218.60.56/~jnz1568/getInfo.php?workbook=14_06.xlsx&amp;sheet=U0&amp;row=844&amp;col=7&amp;number=0.00118&amp;sourceID=14","0.00118")</f>
        <v>0.00118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HYPERLINK("http://141.218.60.56/~jnz1568/getInfo.php?workbook=14_06.xlsx&amp;sheet=U0&amp;row=845&amp;col=6&amp;number=3.1&amp;sourceID=14","3.1")</f>
        <v>3.1</v>
      </c>
      <c r="G845" s="4" t="str">
        <f>HYPERLINK("http://141.218.60.56/~jnz1568/getInfo.php?workbook=14_06.xlsx&amp;sheet=U0&amp;row=845&amp;col=7&amp;number=0.00118&amp;sourceID=14","0.00118")</f>
        <v>0.00118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HYPERLINK("http://141.218.60.56/~jnz1568/getInfo.php?workbook=14_06.xlsx&amp;sheet=U0&amp;row=846&amp;col=6&amp;number=3.2&amp;sourceID=14","3.2")</f>
        <v>3.2</v>
      </c>
      <c r="G846" s="4" t="str">
        <f>HYPERLINK("http://141.218.60.56/~jnz1568/getInfo.php?workbook=14_06.xlsx&amp;sheet=U0&amp;row=846&amp;col=7&amp;number=0.00118&amp;sourceID=14","0.00118")</f>
        <v>0.00118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HYPERLINK("http://141.218.60.56/~jnz1568/getInfo.php?workbook=14_06.xlsx&amp;sheet=U0&amp;row=847&amp;col=6&amp;number=3.3&amp;sourceID=14","3.3")</f>
        <v>3.3</v>
      </c>
      <c r="G847" s="4" t="str">
        <f>HYPERLINK("http://141.218.60.56/~jnz1568/getInfo.php?workbook=14_06.xlsx&amp;sheet=U0&amp;row=847&amp;col=7&amp;number=0.00118&amp;sourceID=14","0.00118")</f>
        <v>0.00118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HYPERLINK("http://141.218.60.56/~jnz1568/getInfo.php?workbook=14_06.xlsx&amp;sheet=U0&amp;row=848&amp;col=6&amp;number=3.4&amp;sourceID=14","3.4")</f>
        <v>3.4</v>
      </c>
      <c r="G848" s="4" t="str">
        <f>HYPERLINK("http://141.218.60.56/~jnz1568/getInfo.php?workbook=14_06.xlsx&amp;sheet=U0&amp;row=848&amp;col=7&amp;number=0.00117&amp;sourceID=14","0.00117")</f>
        <v>0.00117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HYPERLINK("http://141.218.60.56/~jnz1568/getInfo.php?workbook=14_06.xlsx&amp;sheet=U0&amp;row=849&amp;col=6&amp;number=3.5&amp;sourceID=14","3.5")</f>
        <v>3.5</v>
      </c>
      <c r="G849" s="4" t="str">
        <f>HYPERLINK("http://141.218.60.56/~jnz1568/getInfo.php?workbook=14_06.xlsx&amp;sheet=U0&amp;row=849&amp;col=7&amp;number=0.00117&amp;sourceID=14","0.00117")</f>
        <v>0.00117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HYPERLINK("http://141.218.60.56/~jnz1568/getInfo.php?workbook=14_06.xlsx&amp;sheet=U0&amp;row=850&amp;col=6&amp;number=3.6&amp;sourceID=14","3.6")</f>
        <v>3.6</v>
      </c>
      <c r="G850" s="4" t="str">
        <f>HYPERLINK("http://141.218.60.56/~jnz1568/getInfo.php?workbook=14_06.xlsx&amp;sheet=U0&amp;row=850&amp;col=7&amp;number=0.00117&amp;sourceID=14","0.00117")</f>
        <v>0.00117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HYPERLINK("http://141.218.60.56/~jnz1568/getInfo.php?workbook=14_06.xlsx&amp;sheet=U0&amp;row=851&amp;col=6&amp;number=3.7&amp;sourceID=14","3.7")</f>
        <v>3.7</v>
      </c>
      <c r="G851" s="4" t="str">
        <f>HYPERLINK("http://141.218.60.56/~jnz1568/getInfo.php?workbook=14_06.xlsx&amp;sheet=U0&amp;row=851&amp;col=7&amp;number=0.00117&amp;sourceID=14","0.00117")</f>
        <v>0.00117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HYPERLINK("http://141.218.60.56/~jnz1568/getInfo.php?workbook=14_06.xlsx&amp;sheet=U0&amp;row=852&amp;col=6&amp;number=3.8&amp;sourceID=14","3.8")</f>
        <v>3.8</v>
      </c>
      <c r="G852" s="4" t="str">
        <f>HYPERLINK("http://141.218.60.56/~jnz1568/getInfo.php?workbook=14_06.xlsx&amp;sheet=U0&amp;row=852&amp;col=7&amp;number=0.00117&amp;sourceID=14","0.00117")</f>
        <v>0.00117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HYPERLINK("http://141.218.60.56/~jnz1568/getInfo.php?workbook=14_06.xlsx&amp;sheet=U0&amp;row=853&amp;col=6&amp;number=3.9&amp;sourceID=14","3.9")</f>
        <v>3.9</v>
      </c>
      <c r="G853" s="4" t="str">
        <f>HYPERLINK("http://141.218.60.56/~jnz1568/getInfo.php?workbook=14_06.xlsx&amp;sheet=U0&amp;row=853&amp;col=7&amp;number=0.00117&amp;sourceID=14","0.00117")</f>
        <v>0.00117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HYPERLINK("http://141.218.60.56/~jnz1568/getInfo.php?workbook=14_06.xlsx&amp;sheet=U0&amp;row=854&amp;col=6&amp;number=4&amp;sourceID=14","4")</f>
        <v>4</v>
      </c>
      <c r="G854" s="4" t="str">
        <f>HYPERLINK("http://141.218.60.56/~jnz1568/getInfo.php?workbook=14_06.xlsx&amp;sheet=U0&amp;row=854&amp;col=7&amp;number=0.00117&amp;sourceID=14","0.00117")</f>
        <v>0.00117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HYPERLINK("http://141.218.60.56/~jnz1568/getInfo.php?workbook=14_06.xlsx&amp;sheet=U0&amp;row=855&amp;col=6&amp;number=4.1&amp;sourceID=14","4.1")</f>
        <v>4.1</v>
      </c>
      <c r="G855" s="4" t="str">
        <f>HYPERLINK("http://141.218.60.56/~jnz1568/getInfo.php?workbook=14_06.xlsx&amp;sheet=U0&amp;row=855&amp;col=7&amp;number=0.00117&amp;sourceID=14","0.00117")</f>
        <v>0.00117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HYPERLINK("http://141.218.60.56/~jnz1568/getInfo.php?workbook=14_06.xlsx&amp;sheet=U0&amp;row=856&amp;col=6&amp;number=4.2&amp;sourceID=14","4.2")</f>
        <v>4.2</v>
      </c>
      <c r="G856" s="4" t="str">
        <f>HYPERLINK("http://141.218.60.56/~jnz1568/getInfo.php?workbook=14_06.xlsx&amp;sheet=U0&amp;row=856&amp;col=7&amp;number=0.00117&amp;sourceID=14","0.00117")</f>
        <v>0.00117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HYPERLINK("http://141.218.60.56/~jnz1568/getInfo.php?workbook=14_06.xlsx&amp;sheet=U0&amp;row=857&amp;col=6&amp;number=4.3&amp;sourceID=14","4.3")</f>
        <v>4.3</v>
      </c>
      <c r="G857" s="4" t="str">
        <f>HYPERLINK("http://141.218.60.56/~jnz1568/getInfo.php?workbook=14_06.xlsx&amp;sheet=U0&amp;row=857&amp;col=7&amp;number=0.00117&amp;sourceID=14","0.00117")</f>
        <v>0.00117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HYPERLINK("http://141.218.60.56/~jnz1568/getInfo.php?workbook=14_06.xlsx&amp;sheet=U0&amp;row=858&amp;col=6&amp;number=4.4&amp;sourceID=14","4.4")</f>
        <v>4.4</v>
      </c>
      <c r="G858" s="4" t="str">
        <f>HYPERLINK("http://141.218.60.56/~jnz1568/getInfo.php?workbook=14_06.xlsx&amp;sheet=U0&amp;row=858&amp;col=7&amp;number=0.00116&amp;sourceID=14","0.00116")</f>
        <v>0.00116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HYPERLINK("http://141.218.60.56/~jnz1568/getInfo.php?workbook=14_06.xlsx&amp;sheet=U0&amp;row=859&amp;col=6&amp;number=4.5&amp;sourceID=14","4.5")</f>
        <v>4.5</v>
      </c>
      <c r="G859" s="4" t="str">
        <f>HYPERLINK("http://141.218.60.56/~jnz1568/getInfo.php?workbook=14_06.xlsx&amp;sheet=U0&amp;row=859&amp;col=7&amp;number=0.00116&amp;sourceID=14","0.00116")</f>
        <v>0.00116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HYPERLINK("http://141.218.60.56/~jnz1568/getInfo.php?workbook=14_06.xlsx&amp;sheet=U0&amp;row=860&amp;col=6&amp;number=4.6&amp;sourceID=14","4.6")</f>
        <v>4.6</v>
      </c>
      <c r="G860" s="4" t="str">
        <f>HYPERLINK("http://141.218.60.56/~jnz1568/getInfo.php?workbook=14_06.xlsx&amp;sheet=U0&amp;row=860&amp;col=7&amp;number=0.00116&amp;sourceID=14","0.00116")</f>
        <v>0.00116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HYPERLINK("http://141.218.60.56/~jnz1568/getInfo.php?workbook=14_06.xlsx&amp;sheet=U0&amp;row=861&amp;col=6&amp;number=4.7&amp;sourceID=14","4.7")</f>
        <v>4.7</v>
      </c>
      <c r="G861" s="4" t="str">
        <f>HYPERLINK("http://141.218.60.56/~jnz1568/getInfo.php?workbook=14_06.xlsx&amp;sheet=U0&amp;row=861&amp;col=7&amp;number=0.00115&amp;sourceID=14","0.00115")</f>
        <v>0.00115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HYPERLINK("http://141.218.60.56/~jnz1568/getInfo.php?workbook=14_06.xlsx&amp;sheet=U0&amp;row=862&amp;col=6&amp;number=4.8&amp;sourceID=14","4.8")</f>
        <v>4.8</v>
      </c>
      <c r="G862" s="4" t="str">
        <f>HYPERLINK("http://141.218.60.56/~jnz1568/getInfo.php?workbook=14_06.xlsx&amp;sheet=U0&amp;row=862&amp;col=7&amp;number=0.00115&amp;sourceID=14","0.00115")</f>
        <v>0.00115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HYPERLINK("http://141.218.60.56/~jnz1568/getInfo.php?workbook=14_06.xlsx&amp;sheet=U0&amp;row=863&amp;col=6&amp;number=4.9&amp;sourceID=14","4.9")</f>
        <v>4.9</v>
      </c>
      <c r="G863" s="4" t="str">
        <f>HYPERLINK("http://141.218.60.56/~jnz1568/getInfo.php?workbook=14_06.xlsx&amp;sheet=U0&amp;row=863&amp;col=7&amp;number=0.00114&amp;sourceID=14","0.00114")</f>
        <v>0.00114</v>
      </c>
    </row>
    <row r="864" spans="1:7">
      <c r="A864" s="3">
        <v>14</v>
      </c>
      <c r="B864" s="3">
        <v>6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HYPERLINK("http://141.218.60.56/~jnz1568/getInfo.php?workbook=14_06.xlsx&amp;sheet=U0&amp;row=864&amp;col=6&amp;number=3&amp;sourceID=14","3")</f>
        <v>3</v>
      </c>
      <c r="G864" s="4" t="str">
        <f>HYPERLINK("http://141.218.60.56/~jnz1568/getInfo.php?workbook=14_06.xlsx&amp;sheet=U0&amp;row=864&amp;col=7&amp;number=0.00329&amp;sourceID=14","0.00329")</f>
        <v>0.00329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HYPERLINK("http://141.218.60.56/~jnz1568/getInfo.php?workbook=14_06.xlsx&amp;sheet=U0&amp;row=865&amp;col=6&amp;number=3.1&amp;sourceID=14","3.1")</f>
        <v>3.1</v>
      </c>
      <c r="G865" s="4" t="str">
        <f>HYPERLINK("http://141.218.60.56/~jnz1568/getInfo.php?workbook=14_06.xlsx&amp;sheet=U0&amp;row=865&amp;col=7&amp;number=0.00329&amp;sourceID=14","0.00329")</f>
        <v>0.00329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HYPERLINK("http://141.218.60.56/~jnz1568/getInfo.php?workbook=14_06.xlsx&amp;sheet=U0&amp;row=866&amp;col=6&amp;number=3.2&amp;sourceID=14","3.2")</f>
        <v>3.2</v>
      </c>
      <c r="G866" s="4" t="str">
        <f>HYPERLINK("http://141.218.60.56/~jnz1568/getInfo.php?workbook=14_06.xlsx&amp;sheet=U0&amp;row=866&amp;col=7&amp;number=0.00329&amp;sourceID=14","0.00329")</f>
        <v>0.00329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HYPERLINK("http://141.218.60.56/~jnz1568/getInfo.php?workbook=14_06.xlsx&amp;sheet=U0&amp;row=867&amp;col=6&amp;number=3.3&amp;sourceID=14","3.3")</f>
        <v>3.3</v>
      </c>
      <c r="G867" s="4" t="str">
        <f>HYPERLINK("http://141.218.60.56/~jnz1568/getInfo.php?workbook=14_06.xlsx&amp;sheet=U0&amp;row=867&amp;col=7&amp;number=0.00329&amp;sourceID=14","0.00329")</f>
        <v>0.00329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HYPERLINK("http://141.218.60.56/~jnz1568/getInfo.php?workbook=14_06.xlsx&amp;sheet=U0&amp;row=868&amp;col=6&amp;number=3.4&amp;sourceID=14","3.4")</f>
        <v>3.4</v>
      </c>
      <c r="G868" s="4" t="str">
        <f>HYPERLINK("http://141.218.60.56/~jnz1568/getInfo.php?workbook=14_06.xlsx&amp;sheet=U0&amp;row=868&amp;col=7&amp;number=0.00329&amp;sourceID=14","0.00329")</f>
        <v>0.00329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HYPERLINK("http://141.218.60.56/~jnz1568/getInfo.php?workbook=14_06.xlsx&amp;sheet=U0&amp;row=869&amp;col=6&amp;number=3.5&amp;sourceID=14","3.5")</f>
        <v>3.5</v>
      </c>
      <c r="G869" s="4" t="str">
        <f>HYPERLINK("http://141.218.60.56/~jnz1568/getInfo.php?workbook=14_06.xlsx&amp;sheet=U0&amp;row=869&amp;col=7&amp;number=0.00329&amp;sourceID=14","0.00329")</f>
        <v>0.00329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HYPERLINK("http://141.218.60.56/~jnz1568/getInfo.php?workbook=14_06.xlsx&amp;sheet=U0&amp;row=870&amp;col=6&amp;number=3.6&amp;sourceID=14","3.6")</f>
        <v>3.6</v>
      </c>
      <c r="G870" s="4" t="str">
        <f>HYPERLINK("http://141.218.60.56/~jnz1568/getInfo.php?workbook=14_06.xlsx&amp;sheet=U0&amp;row=870&amp;col=7&amp;number=0.00329&amp;sourceID=14","0.00329")</f>
        <v>0.00329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HYPERLINK("http://141.218.60.56/~jnz1568/getInfo.php?workbook=14_06.xlsx&amp;sheet=U0&amp;row=871&amp;col=6&amp;number=3.7&amp;sourceID=14","3.7")</f>
        <v>3.7</v>
      </c>
      <c r="G871" s="4" t="str">
        <f>HYPERLINK("http://141.218.60.56/~jnz1568/getInfo.php?workbook=14_06.xlsx&amp;sheet=U0&amp;row=871&amp;col=7&amp;number=0.00329&amp;sourceID=14","0.00329")</f>
        <v>0.00329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HYPERLINK("http://141.218.60.56/~jnz1568/getInfo.php?workbook=14_06.xlsx&amp;sheet=U0&amp;row=872&amp;col=6&amp;number=3.8&amp;sourceID=14","3.8")</f>
        <v>3.8</v>
      </c>
      <c r="G872" s="4" t="str">
        <f>HYPERLINK("http://141.218.60.56/~jnz1568/getInfo.php?workbook=14_06.xlsx&amp;sheet=U0&amp;row=872&amp;col=7&amp;number=0.00328&amp;sourceID=14","0.00328")</f>
        <v>0.00328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HYPERLINK("http://141.218.60.56/~jnz1568/getInfo.php?workbook=14_06.xlsx&amp;sheet=U0&amp;row=873&amp;col=6&amp;number=3.9&amp;sourceID=14","3.9")</f>
        <v>3.9</v>
      </c>
      <c r="G873" s="4" t="str">
        <f>HYPERLINK("http://141.218.60.56/~jnz1568/getInfo.php?workbook=14_06.xlsx&amp;sheet=U0&amp;row=873&amp;col=7&amp;number=0.00328&amp;sourceID=14","0.00328")</f>
        <v>0.00328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HYPERLINK("http://141.218.60.56/~jnz1568/getInfo.php?workbook=14_06.xlsx&amp;sheet=U0&amp;row=874&amp;col=6&amp;number=4&amp;sourceID=14","4")</f>
        <v>4</v>
      </c>
      <c r="G874" s="4" t="str">
        <f>HYPERLINK("http://141.218.60.56/~jnz1568/getInfo.php?workbook=14_06.xlsx&amp;sheet=U0&amp;row=874&amp;col=7&amp;number=0.00328&amp;sourceID=14","0.00328")</f>
        <v>0.00328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HYPERLINK("http://141.218.60.56/~jnz1568/getInfo.php?workbook=14_06.xlsx&amp;sheet=U0&amp;row=875&amp;col=6&amp;number=4.1&amp;sourceID=14","4.1")</f>
        <v>4.1</v>
      </c>
      <c r="G875" s="4" t="str">
        <f>HYPERLINK("http://141.218.60.56/~jnz1568/getInfo.php?workbook=14_06.xlsx&amp;sheet=U0&amp;row=875&amp;col=7&amp;number=0.00328&amp;sourceID=14","0.00328")</f>
        <v>0.00328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HYPERLINK("http://141.218.60.56/~jnz1568/getInfo.php?workbook=14_06.xlsx&amp;sheet=U0&amp;row=876&amp;col=6&amp;number=4.2&amp;sourceID=14","4.2")</f>
        <v>4.2</v>
      </c>
      <c r="G876" s="4" t="str">
        <f>HYPERLINK("http://141.218.60.56/~jnz1568/getInfo.php?workbook=14_06.xlsx&amp;sheet=U0&amp;row=876&amp;col=7&amp;number=0.00327&amp;sourceID=14","0.00327")</f>
        <v>0.00327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HYPERLINK("http://141.218.60.56/~jnz1568/getInfo.php?workbook=14_06.xlsx&amp;sheet=U0&amp;row=877&amp;col=6&amp;number=4.3&amp;sourceID=14","4.3")</f>
        <v>4.3</v>
      </c>
      <c r="G877" s="4" t="str">
        <f>HYPERLINK("http://141.218.60.56/~jnz1568/getInfo.php?workbook=14_06.xlsx&amp;sheet=U0&amp;row=877&amp;col=7&amp;number=0.00327&amp;sourceID=14","0.00327")</f>
        <v>0.00327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HYPERLINK("http://141.218.60.56/~jnz1568/getInfo.php?workbook=14_06.xlsx&amp;sheet=U0&amp;row=878&amp;col=6&amp;number=4.4&amp;sourceID=14","4.4")</f>
        <v>4.4</v>
      </c>
      <c r="G878" s="4" t="str">
        <f>HYPERLINK("http://141.218.60.56/~jnz1568/getInfo.php?workbook=14_06.xlsx&amp;sheet=U0&amp;row=878&amp;col=7&amp;number=0.00326&amp;sourceID=14","0.00326")</f>
        <v>0.00326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HYPERLINK("http://141.218.60.56/~jnz1568/getInfo.php?workbook=14_06.xlsx&amp;sheet=U0&amp;row=879&amp;col=6&amp;number=4.5&amp;sourceID=14","4.5")</f>
        <v>4.5</v>
      </c>
      <c r="G879" s="4" t="str">
        <f>HYPERLINK("http://141.218.60.56/~jnz1568/getInfo.php?workbook=14_06.xlsx&amp;sheet=U0&amp;row=879&amp;col=7&amp;number=0.00326&amp;sourceID=14","0.00326")</f>
        <v>0.00326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HYPERLINK("http://141.218.60.56/~jnz1568/getInfo.php?workbook=14_06.xlsx&amp;sheet=U0&amp;row=880&amp;col=6&amp;number=4.6&amp;sourceID=14","4.6")</f>
        <v>4.6</v>
      </c>
      <c r="G880" s="4" t="str">
        <f>HYPERLINK("http://141.218.60.56/~jnz1568/getInfo.php?workbook=14_06.xlsx&amp;sheet=U0&amp;row=880&amp;col=7&amp;number=0.00325&amp;sourceID=14","0.00325")</f>
        <v>0.00325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HYPERLINK("http://141.218.60.56/~jnz1568/getInfo.php?workbook=14_06.xlsx&amp;sheet=U0&amp;row=881&amp;col=6&amp;number=4.7&amp;sourceID=14","4.7")</f>
        <v>4.7</v>
      </c>
      <c r="G881" s="4" t="str">
        <f>HYPERLINK("http://141.218.60.56/~jnz1568/getInfo.php?workbook=14_06.xlsx&amp;sheet=U0&amp;row=881&amp;col=7&amp;number=0.00324&amp;sourceID=14","0.00324")</f>
        <v>0.00324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HYPERLINK("http://141.218.60.56/~jnz1568/getInfo.php?workbook=14_06.xlsx&amp;sheet=U0&amp;row=882&amp;col=6&amp;number=4.8&amp;sourceID=14","4.8")</f>
        <v>4.8</v>
      </c>
      <c r="G882" s="4" t="str">
        <f>HYPERLINK("http://141.218.60.56/~jnz1568/getInfo.php?workbook=14_06.xlsx&amp;sheet=U0&amp;row=882&amp;col=7&amp;number=0.00322&amp;sourceID=14","0.00322")</f>
        <v>0.00322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HYPERLINK("http://141.218.60.56/~jnz1568/getInfo.php?workbook=14_06.xlsx&amp;sheet=U0&amp;row=883&amp;col=6&amp;number=4.9&amp;sourceID=14","4.9")</f>
        <v>4.9</v>
      </c>
      <c r="G883" s="4" t="str">
        <f>HYPERLINK("http://141.218.60.56/~jnz1568/getInfo.php?workbook=14_06.xlsx&amp;sheet=U0&amp;row=883&amp;col=7&amp;number=0.0032&amp;sourceID=14","0.0032")</f>
        <v>0.0032</v>
      </c>
    </row>
    <row r="884" spans="1:7">
      <c r="A884" s="3">
        <v>14</v>
      </c>
      <c r="B884" s="3">
        <v>6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HYPERLINK("http://141.218.60.56/~jnz1568/getInfo.php?workbook=14_06.xlsx&amp;sheet=U0&amp;row=884&amp;col=6&amp;number=3&amp;sourceID=14","3")</f>
        <v>3</v>
      </c>
      <c r="G884" s="4" t="str">
        <f>HYPERLINK("http://141.218.60.56/~jnz1568/getInfo.php?workbook=14_06.xlsx&amp;sheet=U0&amp;row=884&amp;col=7&amp;number=0.00641&amp;sourceID=14","0.00641")</f>
        <v>0.00641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HYPERLINK("http://141.218.60.56/~jnz1568/getInfo.php?workbook=14_06.xlsx&amp;sheet=U0&amp;row=885&amp;col=6&amp;number=3.1&amp;sourceID=14","3.1")</f>
        <v>3.1</v>
      </c>
      <c r="G885" s="4" t="str">
        <f>HYPERLINK("http://141.218.60.56/~jnz1568/getInfo.php?workbook=14_06.xlsx&amp;sheet=U0&amp;row=885&amp;col=7&amp;number=0.00641&amp;sourceID=14","0.00641")</f>
        <v>0.00641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HYPERLINK("http://141.218.60.56/~jnz1568/getInfo.php?workbook=14_06.xlsx&amp;sheet=U0&amp;row=886&amp;col=6&amp;number=3.2&amp;sourceID=14","3.2")</f>
        <v>3.2</v>
      </c>
      <c r="G886" s="4" t="str">
        <f>HYPERLINK("http://141.218.60.56/~jnz1568/getInfo.php?workbook=14_06.xlsx&amp;sheet=U0&amp;row=886&amp;col=7&amp;number=0.0064&amp;sourceID=14","0.0064")</f>
        <v>0.0064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HYPERLINK("http://141.218.60.56/~jnz1568/getInfo.php?workbook=14_06.xlsx&amp;sheet=U0&amp;row=887&amp;col=6&amp;number=3.3&amp;sourceID=14","3.3")</f>
        <v>3.3</v>
      </c>
      <c r="G887" s="4" t="str">
        <f>HYPERLINK("http://141.218.60.56/~jnz1568/getInfo.php?workbook=14_06.xlsx&amp;sheet=U0&amp;row=887&amp;col=7&amp;number=0.0064&amp;sourceID=14","0.0064")</f>
        <v>0.0064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HYPERLINK("http://141.218.60.56/~jnz1568/getInfo.php?workbook=14_06.xlsx&amp;sheet=U0&amp;row=888&amp;col=6&amp;number=3.4&amp;sourceID=14","3.4")</f>
        <v>3.4</v>
      </c>
      <c r="G888" s="4" t="str">
        <f>HYPERLINK("http://141.218.60.56/~jnz1568/getInfo.php?workbook=14_06.xlsx&amp;sheet=U0&amp;row=888&amp;col=7&amp;number=0.0064&amp;sourceID=14","0.0064")</f>
        <v>0.0064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HYPERLINK("http://141.218.60.56/~jnz1568/getInfo.php?workbook=14_06.xlsx&amp;sheet=U0&amp;row=889&amp;col=6&amp;number=3.5&amp;sourceID=14","3.5")</f>
        <v>3.5</v>
      </c>
      <c r="G889" s="4" t="str">
        <f>HYPERLINK("http://141.218.60.56/~jnz1568/getInfo.php?workbook=14_06.xlsx&amp;sheet=U0&amp;row=889&amp;col=7&amp;number=0.0064&amp;sourceID=14","0.0064")</f>
        <v>0.0064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HYPERLINK("http://141.218.60.56/~jnz1568/getInfo.php?workbook=14_06.xlsx&amp;sheet=U0&amp;row=890&amp;col=6&amp;number=3.6&amp;sourceID=14","3.6")</f>
        <v>3.6</v>
      </c>
      <c r="G890" s="4" t="str">
        <f>HYPERLINK("http://141.218.60.56/~jnz1568/getInfo.php?workbook=14_06.xlsx&amp;sheet=U0&amp;row=890&amp;col=7&amp;number=0.0064&amp;sourceID=14","0.0064")</f>
        <v>0.0064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HYPERLINK("http://141.218.60.56/~jnz1568/getInfo.php?workbook=14_06.xlsx&amp;sheet=U0&amp;row=891&amp;col=6&amp;number=3.7&amp;sourceID=14","3.7")</f>
        <v>3.7</v>
      </c>
      <c r="G891" s="4" t="str">
        <f>HYPERLINK("http://141.218.60.56/~jnz1568/getInfo.php?workbook=14_06.xlsx&amp;sheet=U0&amp;row=891&amp;col=7&amp;number=0.00639&amp;sourceID=14","0.00639")</f>
        <v>0.00639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HYPERLINK("http://141.218.60.56/~jnz1568/getInfo.php?workbook=14_06.xlsx&amp;sheet=U0&amp;row=892&amp;col=6&amp;number=3.8&amp;sourceID=14","3.8")</f>
        <v>3.8</v>
      </c>
      <c r="G892" s="4" t="str">
        <f>HYPERLINK("http://141.218.60.56/~jnz1568/getInfo.php?workbook=14_06.xlsx&amp;sheet=U0&amp;row=892&amp;col=7&amp;number=0.00639&amp;sourceID=14","0.00639")</f>
        <v>0.00639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HYPERLINK("http://141.218.60.56/~jnz1568/getInfo.php?workbook=14_06.xlsx&amp;sheet=U0&amp;row=893&amp;col=6&amp;number=3.9&amp;sourceID=14","3.9")</f>
        <v>3.9</v>
      </c>
      <c r="G893" s="4" t="str">
        <f>HYPERLINK("http://141.218.60.56/~jnz1568/getInfo.php?workbook=14_06.xlsx&amp;sheet=U0&amp;row=893&amp;col=7&amp;number=0.00639&amp;sourceID=14","0.00639")</f>
        <v>0.00639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HYPERLINK("http://141.218.60.56/~jnz1568/getInfo.php?workbook=14_06.xlsx&amp;sheet=U0&amp;row=894&amp;col=6&amp;number=4&amp;sourceID=14","4")</f>
        <v>4</v>
      </c>
      <c r="G894" s="4" t="str">
        <f>HYPERLINK("http://141.218.60.56/~jnz1568/getInfo.php?workbook=14_06.xlsx&amp;sheet=U0&amp;row=894&amp;col=7&amp;number=0.00638&amp;sourceID=14","0.00638")</f>
        <v>0.00638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HYPERLINK("http://141.218.60.56/~jnz1568/getInfo.php?workbook=14_06.xlsx&amp;sheet=U0&amp;row=895&amp;col=6&amp;number=4.1&amp;sourceID=14","4.1")</f>
        <v>4.1</v>
      </c>
      <c r="G895" s="4" t="str">
        <f>HYPERLINK("http://141.218.60.56/~jnz1568/getInfo.php?workbook=14_06.xlsx&amp;sheet=U0&amp;row=895&amp;col=7&amp;number=0.00637&amp;sourceID=14","0.00637")</f>
        <v>0.00637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HYPERLINK("http://141.218.60.56/~jnz1568/getInfo.php?workbook=14_06.xlsx&amp;sheet=U0&amp;row=896&amp;col=6&amp;number=4.2&amp;sourceID=14","4.2")</f>
        <v>4.2</v>
      </c>
      <c r="G896" s="4" t="str">
        <f>HYPERLINK("http://141.218.60.56/~jnz1568/getInfo.php?workbook=14_06.xlsx&amp;sheet=U0&amp;row=896&amp;col=7&amp;number=0.00636&amp;sourceID=14","0.00636")</f>
        <v>0.00636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HYPERLINK("http://141.218.60.56/~jnz1568/getInfo.php?workbook=14_06.xlsx&amp;sheet=U0&amp;row=897&amp;col=6&amp;number=4.3&amp;sourceID=14","4.3")</f>
        <v>4.3</v>
      </c>
      <c r="G897" s="4" t="str">
        <f>HYPERLINK("http://141.218.60.56/~jnz1568/getInfo.php?workbook=14_06.xlsx&amp;sheet=U0&amp;row=897&amp;col=7&amp;number=0.00635&amp;sourceID=14","0.00635")</f>
        <v>0.00635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HYPERLINK("http://141.218.60.56/~jnz1568/getInfo.php?workbook=14_06.xlsx&amp;sheet=U0&amp;row=898&amp;col=6&amp;number=4.4&amp;sourceID=14","4.4")</f>
        <v>4.4</v>
      </c>
      <c r="G898" s="4" t="str">
        <f>HYPERLINK("http://141.218.60.56/~jnz1568/getInfo.php?workbook=14_06.xlsx&amp;sheet=U0&amp;row=898&amp;col=7&amp;number=0.00633&amp;sourceID=14","0.00633")</f>
        <v>0.00633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HYPERLINK("http://141.218.60.56/~jnz1568/getInfo.php?workbook=14_06.xlsx&amp;sheet=U0&amp;row=899&amp;col=6&amp;number=4.5&amp;sourceID=14","4.5")</f>
        <v>4.5</v>
      </c>
      <c r="G899" s="4" t="str">
        <f>HYPERLINK("http://141.218.60.56/~jnz1568/getInfo.php?workbook=14_06.xlsx&amp;sheet=U0&amp;row=899&amp;col=7&amp;number=0.00632&amp;sourceID=14","0.00632")</f>
        <v>0.00632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HYPERLINK("http://141.218.60.56/~jnz1568/getInfo.php?workbook=14_06.xlsx&amp;sheet=U0&amp;row=900&amp;col=6&amp;number=4.6&amp;sourceID=14","4.6")</f>
        <v>4.6</v>
      </c>
      <c r="G900" s="4" t="str">
        <f>HYPERLINK("http://141.218.60.56/~jnz1568/getInfo.php?workbook=14_06.xlsx&amp;sheet=U0&amp;row=900&amp;col=7&amp;number=0.00629&amp;sourceID=14","0.00629")</f>
        <v>0.00629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HYPERLINK("http://141.218.60.56/~jnz1568/getInfo.php?workbook=14_06.xlsx&amp;sheet=U0&amp;row=901&amp;col=6&amp;number=4.7&amp;sourceID=14","4.7")</f>
        <v>4.7</v>
      </c>
      <c r="G901" s="4" t="str">
        <f>HYPERLINK("http://141.218.60.56/~jnz1568/getInfo.php?workbook=14_06.xlsx&amp;sheet=U0&amp;row=901&amp;col=7&amp;number=0.00626&amp;sourceID=14","0.00626")</f>
        <v>0.00626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HYPERLINK("http://141.218.60.56/~jnz1568/getInfo.php?workbook=14_06.xlsx&amp;sheet=U0&amp;row=902&amp;col=6&amp;number=4.8&amp;sourceID=14","4.8")</f>
        <v>4.8</v>
      </c>
      <c r="G902" s="4" t="str">
        <f>HYPERLINK("http://141.218.60.56/~jnz1568/getInfo.php?workbook=14_06.xlsx&amp;sheet=U0&amp;row=902&amp;col=7&amp;number=0.00622&amp;sourceID=14","0.00622")</f>
        <v>0.00622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HYPERLINK("http://141.218.60.56/~jnz1568/getInfo.php?workbook=14_06.xlsx&amp;sheet=U0&amp;row=903&amp;col=6&amp;number=4.9&amp;sourceID=14","4.9")</f>
        <v>4.9</v>
      </c>
      <c r="G903" s="4" t="str">
        <f>HYPERLINK("http://141.218.60.56/~jnz1568/getInfo.php?workbook=14_06.xlsx&amp;sheet=U0&amp;row=903&amp;col=7&amp;number=0.00618&amp;sourceID=14","0.00618")</f>
        <v>0.00618</v>
      </c>
    </row>
    <row r="904" spans="1:7">
      <c r="A904" s="3">
        <v>14</v>
      </c>
      <c r="B904" s="3">
        <v>6</v>
      </c>
      <c r="C904" s="3">
        <v>2</v>
      </c>
      <c r="D904" s="3">
        <v>3</v>
      </c>
      <c r="E904" s="3">
        <v>1</v>
      </c>
      <c r="F904" s="4" t="str">
        <f>HYPERLINK("http://141.218.60.56/~jnz1568/getInfo.php?workbook=14_06.xlsx&amp;sheet=U0&amp;row=904&amp;col=6&amp;number=3&amp;sourceID=14","3")</f>
        <v>3</v>
      </c>
      <c r="G904" s="4" t="str">
        <f>HYPERLINK("http://141.218.60.56/~jnz1568/getInfo.php?workbook=14_06.xlsx&amp;sheet=U0&amp;row=904&amp;col=7&amp;number=1.3&amp;sourceID=14","1.3")</f>
        <v>1.3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HYPERLINK("http://141.218.60.56/~jnz1568/getInfo.php?workbook=14_06.xlsx&amp;sheet=U0&amp;row=905&amp;col=6&amp;number=3.1&amp;sourceID=14","3.1")</f>
        <v>3.1</v>
      </c>
      <c r="G905" s="4" t="str">
        <f>HYPERLINK("http://141.218.60.56/~jnz1568/getInfo.php?workbook=14_06.xlsx&amp;sheet=U0&amp;row=905&amp;col=7&amp;number=1.3&amp;sourceID=14","1.3")</f>
        <v>1.3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HYPERLINK("http://141.218.60.56/~jnz1568/getInfo.php?workbook=14_06.xlsx&amp;sheet=U0&amp;row=906&amp;col=6&amp;number=3.2&amp;sourceID=14","3.2")</f>
        <v>3.2</v>
      </c>
      <c r="G906" s="4" t="str">
        <f>HYPERLINK("http://141.218.60.56/~jnz1568/getInfo.php?workbook=14_06.xlsx&amp;sheet=U0&amp;row=906&amp;col=7&amp;number=1.3&amp;sourceID=14","1.3")</f>
        <v>1.3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HYPERLINK("http://141.218.60.56/~jnz1568/getInfo.php?workbook=14_06.xlsx&amp;sheet=U0&amp;row=907&amp;col=6&amp;number=3.3&amp;sourceID=14","3.3")</f>
        <v>3.3</v>
      </c>
      <c r="G907" s="4" t="str">
        <f>HYPERLINK("http://141.218.60.56/~jnz1568/getInfo.php?workbook=14_06.xlsx&amp;sheet=U0&amp;row=907&amp;col=7&amp;number=1.3&amp;sourceID=14","1.3")</f>
        <v>1.3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HYPERLINK("http://141.218.60.56/~jnz1568/getInfo.php?workbook=14_06.xlsx&amp;sheet=U0&amp;row=908&amp;col=6&amp;number=3.4&amp;sourceID=14","3.4")</f>
        <v>3.4</v>
      </c>
      <c r="G908" s="4" t="str">
        <f>HYPERLINK("http://141.218.60.56/~jnz1568/getInfo.php?workbook=14_06.xlsx&amp;sheet=U0&amp;row=908&amp;col=7&amp;number=1.3&amp;sourceID=14","1.3")</f>
        <v>1.3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HYPERLINK("http://141.218.60.56/~jnz1568/getInfo.php?workbook=14_06.xlsx&amp;sheet=U0&amp;row=909&amp;col=6&amp;number=3.5&amp;sourceID=14","3.5")</f>
        <v>3.5</v>
      </c>
      <c r="G909" s="4" t="str">
        <f>HYPERLINK("http://141.218.60.56/~jnz1568/getInfo.php?workbook=14_06.xlsx&amp;sheet=U0&amp;row=909&amp;col=7&amp;number=1.3&amp;sourceID=14","1.3")</f>
        <v>1.3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HYPERLINK("http://141.218.60.56/~jnz1568/getInfo.php?workbook=14_06.xlsx&amp;sheet=U0&amp;row=910&amp;col=6&amp;number=3.6&amp;sourceID=14","3.6")</f>
        <v>3.6</v>
      </c>
      <c r="G910" s="4" t="str">
        <f>HYPERLINK("http://141.218.60.56/~jnz1568/getInfo.php?workbook=14_06.xlsx&amp;sheet=U0&amp;row=910&amp;col=7&amp;number=1.29&amp;sourceID=14","1.29")</f>
        <v>1.29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HYPERLINK("http://141.218.60.56/~jnz1568/getInfo.php?workbook=14_06.xlsx&amp;sheet=U0&amp;row=911&amp;col=6&amp;number=3.7&amp;sourceID=14","3.7")</f>
        <v>3.7</v>
      </c>
      <c r="G911" s="4" t="str">
        <f>HYPERLINK("http://141.218.60.56/~jnz1568/getInfo.php?workbook=14_06.xlsx&amp;sheet=U0&amp;row=911&amp;col=7&amp;number=1.29&amp;sourceID=14","1.29")</f>
        <v>1.29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HYPERLINK("http://141.218.60.56/~jnz1568/getInfo.php?workbook=14_06.xlsx&amp;sheet=U0&amp;row=912&amp;col=6&amp;number=3.8&amp;sourceID=14","3.8")</f>
        <v>3.8</v>
      </c>
      <c r="G912" s="4" t="str">
        <f>HYPERLINK("http://141.218.60.56/~jnz1568/getInfo.php?workbook=14_06.xlsx&amp;sheet=U0&amp;row=912&amp;col=7&amp;number=1.29&amp;sourceID=14","1.29")</f>
        <v>1.29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HYPERLINK("http://141.218.60.56/~jnz1568/getInfo.php?workbook=14_06.xlsx&amp;sheet=U0&amp;row=913&amp;col=6&amp;number=3.9&amp;sourceID=14","3.9")</f>
        <v>3.9</v>
      </c>
      <c r="G913" s="4" t="str">
        <f>HYPERLINK("http://141.218.60.56/~jnz1568/getInfo.php?workbook=14_06.xlsx&amp;sheet=U0&amp;row=913&amp;col=7&amp;number=1.29&amp;sourceID=14","1.29")</f>
        <v>1.29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HYPERLINK("http://141.218.60.56/~jnz1568/getInfo.php?workbook=14_06.xlsx&amp;sheet=U0&amp;row=914&amp;col=6&amp;number=4&amp;sourceID=14","4")</f>
        <v>4</v>
      </c>
      <c r="G914" s="4" t="str">
        <f>HYPERLINK("http://141.218.60.56/~jnz1568/getInfo.php?workbook=14_06.xlsx&amp;sheet=U0&amp;row=914&amp;col=7&amp;number=1.28&amp;sourceID=14","1.28")</f>
        <v>1.28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HYPERLINK("http://141.218.60.56/~jnz1568/getInfo.php?workbook=14_06.xlsx&amp;sheet=U0&amp;row=915&amp;col=6&amp;number=4.1&amp;sourceID=14","4.1")</f>
        <v>4.1</v>
      </c>
      <c r="G915" s="4" t="str">
        <f>HYPERLINK("http://141.218.60.56/~jnz1568/getInfo.php?workbook=14_06.xlsx&amp;sheet=U0&amp;row=915&amp;col=7&amp;number=1.28&amp;sourceID=14","1.28")</f>
        <v>1.28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HYPERLINK("http://141.218.60.56/~jnz1568/getInfo.php?workbook=14_06.xlsx&amp;sheet=U0&amp;row=916&amp;col=6&amp;number=4.2&amp;sourceID=14","4.2")</f>
        <v>4.2</v>
      </c>
      <c r="G916" s="4" t="str">
        <f>HYPERLINK("http://141.218.60.56/~jnz1568/getInfo.php?workbook=14_06.xlsx&amp;sheet=U0&amp;row=916&amp;col=7&amp;number=1.27&amp;sourceID=14","1.27")</f>
        <v>1.27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HYPERLINK("http://141.218.60.56/~jnz1568/getInfo.php?workbook=14_06.xlsx&amp;sheet=U0&amp;row=917&amp;col=6&amp;number=4.3&amp;sourceID=14","4.3")</f>
        <v>4.3</v>
      </c>
      <c r="G917" s="4" t="str">
        <f>HYPERLINK("http://141.218.60.56/~jnz1568/getInfo.php?workbook=14_06.xlsx&amp;sheet=U0&amp;row=917&amp;col=7&amp;number=1.26&amp;sourceID=14","1.26")</f>
        <v>1.26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HYPERLINK("http://141.218.60.56/~jnz1568/getInfo.php?workbook=14_06.xlsx&amp;sheet=U0&amp;row=918&amp;col=6&amp;number=4.4&amp;sourceID=14","4.4")</f>
        <v>4.4</v>
      </c>
      <c r="G918" s="4" t="str">
        <f>HYPERLINK("http://141.218.60.56/~jnz1568/getInfo.php?workbook=14_06.xlsx&amp;sheet=U0&amp;row=918&amp;col=7&amp;number=1.25&amp;sourceID=14","1.25")</f>
        <v>1.25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HYPERLINK("http://141.218.60.56/~jnz1568/getInfo.php?workbook=14_06.xlsx&amp;sheet=U0&amp;row=919&amp;col=6&amp;number=4.5&amp;sourceID=14","4.5")</f>
        <v>4.5</v>
      </c>
      <c r="G919" s="4" t="str">
        <f>HYPERLINK("http://141.218.60.56/~jnz1568/getInfo.php?workbook=14_06.xlsx&amp;sheet=U0&amp;row=919&amp;col=7&amp;number=1.24&amp;sourceID=14","1.24")</f>
        <v>1.24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HYPERLINK("http://141.218.60.56/~jnz1568/getInfo.php?workbook=14_06.xlsx&amp;sheet=U0&amp;row=920&amp;col=6&amp;number=4.6&amp;sourceID=14","4.6")</f>
        <v>4.6</v>
      </c>
      <c r="G920" s="4" t="str">
        <f>HYPERLINK("http://141.218.60.56/~jnz1568/getInfo.php?workbook=14_06.xlsx&amp;sheet=U0&amp;row=920&amp;col=7&amp;number=1.23&amp;sourceID=14","1.23")</f>
        <v>1.23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HYPERLINK("http://141.218.60.56/~jnz1568/getInfo.php?workbook=14_06.xlsx&amp;sheet=U0&amp;row=921&amp;col=6&amp;number=4.7&amp;sourceID=14","4.7")</f>
        <v>4.7</v>
      </c>
      <c r="G921" s="4" t="str">
        <f>HYPERLINK("http://141.218.60.56/~jnz1568/getInfo.php?workbook=14_06.xlsx&amp;sheet=U0&amp;row=921&amp;col=7&amp;number=1.21&amp;sourceID=14","1.21")</f>
        <v>1.21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HYPERLINK("http://141.218.60.56/~jnz1568/getInfo.php?workbook=14_06.xlsx&amp;sheet=U0&amp;row=922&amp;col=6&amp;number=4.8&amp;sourceID=14","4.8")</f>
        <v>4.8</v>
      </c>
      <c r="G922" s="4" t="str">
        <f>HYPERLINK("http://141.218.60.56/~jnz1568/getInfo.php?workbook=14_06.xlsx&amp;sheet=U0&amp;row=922&amp;col=7&amp;number=1.19&amp;sourceID=14","1.19")</f>
        <v>1.19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HYPERLINK("http://141.218.60.56/~jnz1568/getInfo.php?workbook=14_06.xlsx&amp;sheet=U0&amp;row=923&amp;col=6&amp;number=4.9&amp;sourceID=14","4.9")</f>
        <v>4.9</v>
      </c>
      <c r="G923" s="4" t="str">
        <f>HYPERLINK("http://141.218.60.56/~jnz1568/getInfo.php?workbook=14_06.xlsx&amp;sheet=U0&amp;row=923&amp;col=7&amp;number=1.16&amp;sourceID=14","1.16")</f>
        <v>1.16</v>
      </c>
    </row>
    <row r="924" spans="1:7">
      <c r="A924" s="3">
        <v>14</v>
      </c>
      <c r="B924" s="3">
        <v>6</v>
      </c>
      <c r="C924" s="3">
        <v>2</v>
      </c>
      <c r="D924" s="3">
        <v>4</v>
      </c>
      <c r="E924" s="3">
        <v>1</v>
      </c>
      <c r="F924" s="4" t="str">
        <f>HYPERLINK("http://141.218.60.56/~jnz1568/getInfo.php?workbook=14_06.xlsx&amp;sheet=U0&amp;row=924&amp;col=6&amp;number=3&amp;sourceID=14","3")</f>
        <v>3</v>
      </c>
      <c r="G924" s="4" t="str">
        <f>HYPERLINK("http://141.218.60.56/~jnz1568/getInfo.php?workbook=14_06.xlsx&amp;sheet=U0&amp;row=924&amp;col=7&amp;number=0.243&amp;sourceID=14","0.243")</f>
        <v>0.243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HYPERLINK("http://141.218.60.56/~jnz1568/getInfo.php?workbook=14_06.xlsx&amp;sheet=U0&amp;row=925&amp;col=6&amp;number=3.1&amp;sourceID=14","3.1")</f>
        <v>3.1</v>
      </c>
      <c r="G925" s="4" t="str">
        <f>HYPERLINK("http://141.218.60.56/~jnz1568/getInfo.php?workbook=14_06.xlsx&amp;sheet=U0&amp;row=925&amp;col=7&amp;number=0.243&amp;sourceID=14","0.243")</f>
        <v>0.243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HYPERLINK("http://141.218.60.56/~jnz1568/getInfo.php?workbook=14_06.xlsx&amp;sheet=U0&amp;row=926&amp;col=6&amp;number=3.2&amp;sourceID=14","3.2")</f>
        <v>3.2</v>
      </c>
      <c r="G926" s="4" t="str">
        <f>HYPERLINK("http://141.218.60.56/~jnz1568/getInfo.php?workbook=14_06.xlsx&amp;sheet=U0&amp;row=926&amp;col=7&amp;number=0.243&amp;sourceID=14","0.243")</f>
        <v>0.243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HYPERLINK("http://141.218.60.56/~jnz1568/getInfo.php?workbook=14_06.xlsx&amp;sheet=U0&amp;row=927&amp;col=6&amp;number=3.3&amp;sourceID=14","3.3")</f>
        <v>3.3</v>
      </c>
      <c r="G927" s="4" t="str">
        <f>HYPERLINK("http://141.218.60.56/~jnz1568/getInfo.php?workbook=14_06.xlsx&amp;sheet=U0&amp;row=927&amp;col=7&amp;number=0.243&amp;sourceID=14","0.243")</f>
        <v>0.243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HYPERLINK("http://141.218.60.56/~jnz1568/getInfo.php?workbook=14_06.xlsx&amp;sheet=U0&amp;row=928&amp;col=6&amp;number=3.4&amp;sourceID=14","3.4")</f>
        <v>3.4</v>
      </c>
      <c r="G928" s="4" t="str">
        <f>HYPERLINK("http://141.218.60.56/~jnz1568/getInfo.php?workbook=14_06.xlsx&amp;sheet=U0&amp;row=928&amp;col=7&amp;number=0.243&amp;sourceID=14","0.243")</f>
        <v>0.243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HYPERLINK("http://141.218.60.56/~jnz1568/getInfo.php?workbook=14_06.xlsx&amp;sheet=U0&amp;row=929&amp;col=6&amp;number=3.5&amp;sourceID=14","3.5")</f>
        <v>3.5</v>
      </c>
      <c r="G929" s="4" t="str">
        <f>HYPERLINK("http://141.218.60.56/~jnz1568/getInfo.php?workbook=14_06.xlsx&amp;sheet=U0&amp;row=929&amp;col=7&amp;number=0.243&amp;sourceID=14","0.243")</f>
        <v>0.243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HYPERLINK("http://141.218.60.56/~jnz1568/getInfo.php?workbook=14_06.xlsx&amp;sheet=U0&amp;row=930&amp;col=6&amp;number=3.6&amp;sourceID=14","3.6")</f>
        <v>3.6</v>
      </c>
      <c r="G930" s="4" t="str">
        <f>HYPERLINK("http://141.218.60.56/~jnz1568/getInfo.php?workbook=14_06.xlsx&amp;sheet=U0&amp;row=930&amp;col=7&amp;number=0.243&amp;sourceID=14","0.243")</f>
        <v>0.243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HYPERLINK("http://141.218.60.56/~jnz1568/getInfo.php?workbook=14_06.xlsx&amp;sheet=U0&amp;row=931&amp;col=6&amp;number=3.7&amp;sourceID=14","3.7")</f>
        <v>3.7</v>
      </c>
      <c r="G931" s="4" t="str">
        <f>HYPERLINK("http://141.218.60.56/~jnz1568/getInfo.php?workbook=14_06.xlsx&amp;sheet=U0&amp;row=931&amp;col=7&amp;number=0.242&amp;sourceID=14","0.242")</f>
        <v>0.242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HYPERLINK("http://141.218.60.56/~jnz1568/getInfo.php?workbook=14_06.xlsx&amp;sheet=U0&amp;row=932&amp;col=6&amp;number=3.8&amp;sourceID=14","3.8")</f>
        <v>3.8</v>
      </c>
      <c r="G932" s="4" t="str">
        <f>HYPERLINK("http://141.218.60.56/~jnz1568/getInfo.php?workbook=14_06.xlsx&amp;sheet=U0&amp;row=932&amp;col=7&amp;number=0.242&amp;sourceID=14","0.242")</f>
        <v>0.242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HYPERLINK("http://141.218.60.56/~jnz1568/getInfo.php?workbook=14_06.xlsx&amp;sheet=U0&amp;row=933&amp;col=6&amp;number=3.9&amp;sourceID=14","3.9")</f>
        <v>3.9</v>
      </c>
      <c r="G933" s="4" t="str">
        <f>HYPERLINK("http://141.218.60.56/~jnz1568/getInfo.php?workbook=14_06.xlsx&amp;sheet=U0&amp;row=933&amp;col=7&amp;number=0.242&amp;sourceID=14","0.242")</f>
        <v>0.242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HYPERLINK("http://141.218.60.56/~jnz1568/getInfo.php?workbook=14_06.xlsx&amp;sheet=U0&amp;row=934&amp;col=6&amp;number=4&amp;sourceID=14","4")</f>
        <v>4</v>
      </c>
      <c r="G934" s="4" t="str">
        <f>HYPERLINK("http://141.218.60.56/~jnz1568/getInfo.php?workbook=14_06.xlsx&amp;sheet=U0&amp;row=934&amp;col=7&amp;number=0.241&amp;sourceID=14","0.241")</f>
        <v>0.241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HYPERLINK("http://141.218.60.56/~jnz1568/getInfo.php?workbook=14_06.xlsx&amp;sheet=U0&amp;row=935&amp;col=6&amp;number=4.1&amp;sourceID=14","4.1")</f>
        <v>4.1</v>
      </c>
      <c r="G935" s="4" t="str">
        <f>HYPERLINK("http://141.218.60.56/~jnz1568/getInfo.php?workbook=14_06.xlsx&amp;sheet=U0&amp;row=935&amp;col=7&amp;number=0.241&amp;sourceID=14","0.241")</f>
        <v>0.241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HYPERLINK("http://141.218.60.56/~jnz1568/getInfo.php?workbook=14_06.xlsx&amp;sheet=U0&amp;row=936&amp;col=6&amp;number=4.2&amp;sourceID=14","4.2")</f>
        <v>4.2</v>
      </c>
      <c r="G936" s="4" t="str">
        <f>HYPERLINK("http://141.218.60.56/~jnz1568/getInfo.php?workbook=14_06.xlsx&amp;sheet=U0&amp;row=936&amp;col=7&amp;number=0.24&amp;sourceID=14","0.24")</f>
        <v>0.24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HYPERLINK("http://141.218.60.56/~jnz1568/getInfo.php?workbook=14_06.xlsx&amp;sheet=U0&amp;row=937&amp;col=6&amp;number=4.3&amp;sourceID=14","4.3")</f>
        <v>4.3</v>
      </c>
      <c r="G937" s="4" t="str">
        <f>HYPERLINK("http://141.218.60.56/~jnz1568/getInfo.php?workbook=14_06.xlsx&amp;sheet=U0&amp;row=937&amp;col=7&amp;number=0.24&amp;sourceID=14","0.24")</f>
        <v>0.24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HYPERLINK("http://141.218.60.56/~jnz1568/getInfo.php?workbook=14_06.xlsx&amp;sheet=U0&amp;row=938&amp;col=6&amp;number=4.4&amp;sourceID=14","4.4")</f>
        <v>4.4</v>
      </c>
      <c r="G938" s="4" t="str">
        <f>HYPERLINK("http://141.218.60.56/~jnz1568/getInfo.php?workbook=14_06.xlsx&amp;sheet=U0&amp;row=938&amp;col=7&amp;number=0.239&amp;sourceID=14","0.239")</f>
        <v>0.239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HYPERLINK("http://141.218.60.56/~jnz1568/getInfo.php?workbook=14_06.xlsx&amp;sheet=U0&amp;row=939&amp;col=6&amp;number=4.5&amp;sourceID=14","4.5")</f>
        <v>4.5</v>
      </c>
      <c r="G939" s="4" t="str">
        <f>HYPERLINK("http://141.218.60.56/~jnz1568/getInfo.php?workbook=14_06.xlsx&amp;sheet=U0&amp;row=939&amp;col=7&amp;number=0.237&amp;sourceID=14","0.237")</f>
        <v>0.237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HYPERLINK("http://141.218.60.56/~jnz1568/getInfo.php?workbook=14_06.xlsx&amp;sheet=U0&amp;row=940&amp;col=6&amp;number=4.6&amp;sourceID=14","4.6")</f>
        <v>4.6</v>
      </c>
      <c r="G940" s="4" t="str">
        <f>HYPERLINK("http://141.218.60.56/~jnz1568/getInfo.php?workbook=14_06.xlsx&amp;sheet=U0&amp;row=940&amp;col=7&amp;number=0.236&amp;sourceID=14","0.236")</f>
        <v>0.236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HYPERLINK("http://141.218.60.56/~jnz1568/getInfo.php?workbook=14_06.xlsx&amp;sheet=U0&amp;row=941&amp;col=6&amp;number=4.7&amp;sourceID=14","4.7")</f>
        <v>4.7</v>
      </c>
      <c r="G941" s="4" t="str">
        <f>HYPERLINK("http://141.218.60.56/~jnz1568/getInfo.php?workbook=14_06.xlsx&amp;sheet=U0&amp;row=941&amp;col=7&amp;number=0.234&amp;sourceID=14","0.234")</f>
        <v>0.234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HYPERLINK("http://141.218.60.56/~jnz1568/getInfo.php?workbook=14_06.xlsx&amp;sheet=U0&amp;row=942&amp;col=6&amp;number=4.8&amp;sourceID=14","4.8")</f>
        <v>4.8</v>
      </c>
      <c r="G942" s="4" t="str">
        <f>HYPERLINK("http://141.218.60.56/~jnz1568/getInfo.php?workbook=14_06.xlsx&amp;sheet=U0&amp;row=942&amp;col=7&amp;number=0.232&amp;sourceID=14","0.232")</f>
        <v>0.232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HYPERLINK("http://141.218.60.56/~jnz1568/getInfo.php?workbook=14_06.xlsx&amp;sheet=U0&amp;row=943&amp;col=6&amp;number=4.9&amp;sourceID=14","4.9")</f>
        <v>4.9</v>
      </c>
      <c r="G943" s="4" t="str">
        <f>HYPERLINK("http://141.218.60.56/~jnz1568/getInfo.php?workbook=14_06.xlsx&amp;sheet=U0&amp;row=943&amp;col=7&amp;number=0.229&amp;sourceID=14","0.229")</f>
        <v>0.229</v>
      </c>
    </row>
    <row r="944" spans="1:7">
      <c r="A944" s="3">
        <v>14</v>
      </c>
      <c r="B944" s="3">
        <v>6</v>
      </c>
      <c r="C944" s="3">
        <v>2</v>
      </c>
      <c r="D944" s="3">
        <v>5</v>
      </c>
      <c r="E944" s="3">
        <v>1</v>
      </c>
      <c r="F944" s="4" t="str">
        <f>HYPERLINK("http://141.218.60.56/~jnz1568/getInfo.php?workbook=14_06.xlsx&amp;sheet=U0&amp;row=944&amp;col=6&amp;number=3&amp;sourceID=14","3")</f>
        <v>3</v>
      </c>
      <c r="G944" s="4" t="str">
        <f>HYPERLINK("http://141.218.60.56/~jnz1568/getInfo.php?workbook=14_06.xlsx&amp;sheet=U0&amp;row=944&amp;col=7&amp;number=0.0304&amp;sourceID=14","0.0304")</f>
        <v>0.0304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HYPERLINK("http://141.218.60.56/~jnz1568/getInfo.php?workbook=14_06.xlsx&amp;sheet=U0&amp;row=945&amp;col=6&amp;number=3.1&amp;sourceID=14","3.1")</f>
        <v>3.1</v>
      </c>
      <c r="G945" s="4" t="str">
        <f>HYPERLINK("http://141.218.60.56/~jnz1568/getInfo.php?workbook=14_06.xlsx&amp;sheet=U0&amp;row=945&amp;col=7&amp;number=0.0304&amp;sourceID=14","0.0304")</f>
        <v>0.0304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HYPERLINK("http://141.218.60.56/~jnz1568/getInfo.php?workbook=14_06.xlsx&amp;sheet=U0&amp;row=946&amp;col=6&amp;number=3.2&amp;sourceID=14","3.2")</f>
        <v>3.2</v>
      </c>
      <c r="G946" s="4" t="str">
        <f>HYPERLINK("http://141.218.60.56/~jnz1568/getInfo.php?workbook=14_06.xlsx&amp;sheet=U0&amp;row=946&amp;col=7&amp;number=0.0304&amp;sourceID=14","0.0304")</f>
        <v>0.0304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HYPERLINK("http://141.218.60.56/~jnz1568/getInfo.php?workbook=14_06.xlsx&amp;sheet=U0&amp;row=947&amp;col=6&amp;number=3.3&amp;sourceID=14","3.3")</f>
        <v>3.3</v>
      </c>
      <c r="G947" s="4" t="str">
        <f>HYPERLINK("http://141.218.60.56/~jnz1568/getInfo.php?workbook=14_06.xlsx&amp;sheet=U0&amp;row=947&amp;col=7&amp;number=0.0304&amp;sourceID=14","0.0304")</f>
        <v>0.0304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HYPERLINK("http://141.218.60.56/~jnz1568/getInfo.php?workbook=14_06.xlsx&amp;sheet=U0&amp;row=948&amp;col=6&amp;number=3.4&amp;sourceID=14","3.4")</f>
        <v>3.4</v>
      </c>
      <c r="G948" s="4" t="str">
        <f>HYPERLINK("http://141.218.60.56/~jnz1568/getInfo.php?workbook=14_06.xlsx&amp;sheet=U0&amp;row=948&amp;col=7&amp;number=0.0304&amp;sourceID=14","0.0304")</f>
        <v>0.0304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HYPERLINK("http://141.218.60.56/~jnz1568/getInfo.php?workbook=14_06.xlsx&amp;sheet=U0&amp;row=949&amp;col=6&amp;number=3.5&amp;sourceID=14","3.5")</f>
        <v>3.5</v>
      </c>
      <c r="G949" s="4" t="str">
        <f>HYPERLINK("http://141.218.60.56/~jnz1568/getInfo.php?workbook=14_06.xlsx&amp;sheet=U0&amp;row=949&amp;col=7&amp;number=0.0303&amp;sourceID=14","0.0303")</f>
        <v>0.0303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HYPERLINK("http://141.218.60.56/~jnz1568/getInfo.php?workbook=14_06.xlsx&amp;sheet=U0&amp;row=950&amp;col=6&amp;number=3.6&amp;sourceID=14","3.6")</f>
        <v>3.6</v>
      </c>
      <c r="G950" s="4" t="str">
        <f>HYPERLINK("http://141.218.60.56/~jnz1568/getInfo.php?workbook=14_06.xlsx&amp;sheet=U0&amp;row=950&amp;col=7&amp;number=0.0303&amp;sourceID=14","0.0303")</f>
        <v>0.0303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HYPERLINK("http://141.218.60.56/~jnz1568/getInfo.php?workbook=14_06.xlsx&amp;sheet=U0&amp;row=951&amp;col=6&amp;number=3.7&amp;sourceID=14","3.7")</f>
        <v>3.7</v>
      </c>
      <c r="G951" s="4" t="str">
        <f>HYPERLINK("http://141.218.60.56/~jnz1568/getInfo.php?workbook=14_06.xlsx&amp;sheet=U0&amp;row=951&amp;col=7&amp;number=0.0303&amp;sourceID=14","0.0303")</f>
        <v>0.0303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HYPERLINK("http://141.218.60.56/~jnz1568/getInfo.php?workbook=14_06.xlsx&amp;sheet=U0&amp;row=952&amp;col=6&amp;number=3.8&amp;sourceID=14","3.8")</f>
        <v>3.8</v>
      </c>
      <c r="G952" s="4" t="str">
        <f>HYPERLINK("http://141.218.60.56/~jnz1568/getInfo.php?workbook=14_06.xlsx&amp;sheet=U0&amp;row=952&amp;col=7&amp;number=0.0303&amp;sourceID=14","0.0303")</f>
        <v>0.0303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HYPERLINK("http://141.218.60.56/~jnz1568/getInfo.php?workbook=14_06.xlsx&amp;sheet=U0&amp;row=953&amp;col=6&amp;number=3.9&amp;sourceID=14","3.9")</f>
        <v>3.9</v>
      </c>
      <c r="G953" s="4" t="str">
        <f>HYPERLINK("http://141.218.60.56/~jnz1568/getInfo.php?workbook=14_06.xlsx&amp;sheet=U0&amp;row=953&amp;col=7&amp;number=0.0302&amp;sourceID=14","0.0302")</f>
        <v>0.0302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HYPERLINK("http://141.218.60.56/~jnz1568/getInfo.php?workbook=14_06.xlsx&amp;sheet=U0&amp;row=954&amp;col=6&amp;number=4&amp;sourceID=14","4")</f>
        <v>4</v>
      </c>
      <c r="G954" s="4" t="str">
        <f>HYPERLINK("http://141.218.60.56/~jnz1568/getInfo.php?workbook=14_06.xlsx&amp;sheet=U0&amp;row=954&amp;col=7&amp;number=0.0302&amp;sourceID=14","0.0302")</f>
        <v>0.0302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HYPERLINK("http://141.218.60.56/~jnz1568/getInfo.php?workbook=14_06.xlsx&amp;sheet=U0&amp;row=955&amp;col=6&amp;number=4.1&amp;sourceID=14","4.1")</f>
        <v>4.1</v>
      </c>
      <c r="G955" s="4" t="str">
        <f>HYPERLINK("http://141.218.60.56/~jnz1568/getInfo.php?workbook=14_06.xlsx&amp;sheet=U0&amp;row=955&amp;col=7&amp;number=0.0302&amp;sourceID=14","0.0302")</f>
        <v>0.0302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HYPERLINK("http://141.218.60.56/~jnz1568/getInfo.php?workbook=14_06.xlsx&amp;sheet=U0&amp;row=956&amp;col=6&amp;number=4.2&amp;sourceID=14","4.2")</f>
        <v>4.2</v>
      </c>
      <c r="G956" s="4" t="str">
        <f>HYPERLINK("http://141.218.60.56/~jnz1568/getInfo.php?workbook=14_06.xlsx&amp;sheet=U0&amp;row=956&amp;col=7&amp;number=0.0301&amp;sourceID=14","0.0301")</f>
        <v>0.0301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HYPERLINK("http://141.218.60.56/~jnz1568/getInfo.php?workbook=14_06.xlsx&amp;sheet=U0&amp;row=957&amp;col=6&amp;number=4.3&amp;sourceID=14","4.3")</f>
        <v>4.3</v>
      </c>
      <c r="G957" s="4" t="str">
        <f>HYPERLINK("http://141.218.60.56/~jnz1568/getInfo.php?workbook=14_06.xlsx&amp;sheet=U0&amp;row=957&amp;col=7&amp;number=0.03&amp;sourceID=14","0.03")</f>
        <v>0.03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HYPERLINK("http://141.218.60.56/~jnz1568/getInfo.php?workbook=14_06.xlsx&amp;sheet=U0&amp;row=958&amp;col=6&amp;number=4.4&amp;sourceID=14","4.4")</f>
        <v>4.4</v>
      </c>
      <c r="G958" s="4" t="str">
        <f>HYPERLINK("http://141.218.60.56/~jnz1568/getInfo.php?workbook=14_06.xlsx&amp;sheet=U0&amp;row=958&amp;col=7&amp;number=0.0299&amp;sourceID=14","0.0299")</f>
        <v>0.0299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HYPERLINK("http://141.218.60.56/~jnz1568/getInfo.php?workbook=14_06.xlsx&amp;sheet=U0&amp;row=959&amp;col=6&amp;number=4.5&amp;sourceID=14","4.5")</f>
        <v>4.5</v>
      </c>
      <c r="G959" s="4" t="str">
        <f>HYPERLINK("http://141.218.60.56/~jnz1568/getInfo.php?workbook=14_06.xlsx&amp;sheet=U0&amp;row=959&amp;col=7&amp;number=0.0298&amp;sourceID=14","0.0298")</f>
        <v>0.0298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HYPERLINK("http://141.218.60.56/~jnz1568/getInfo.php?workbook=14_06.xlsx&amp;sheet=U0&amp;row=960&amp;col=6&amp;number=4.6&amp;sourceID=14","4.6")</f>
        <v>4.6</v>
      </c>
      <c r="G960" s="4" t="str">
        <f>HYPERLINK("http://141.218.60.56/~jnz1568/getInfo.php?workbook=14_06.xlsx&amp;sheet=U0&amp;row=960&amp;col=7&amp;number=0.0296&amp;sourceID=14","0.0296")</f>
        <v>0.0296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HYPERLINK("http://141.218.60.56/~jnz1568/getInfo.php?workbook=14_06.xlsx&amp;sheet=U0&amp;row=961&amp;col=6&amp;number=4.7&amp;sourceID=14","4.7")</f>
        <v>4.7</v>
      </c>
      <c r="G961" s="4" t="str">
        <f>HYPERLINK("http://141.218.60.56/~jnz1568/getInfo.php?workbook=14_06.xlsx&amp;sheet=U0&amp;row=961&amp;col=7&amp;number=0.0294&amp;sourceID=14","0.0294")</f>
        <v>0.0294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HYPERLINK("http://141.218.60.56/~jnz1568/getInfo.php?workbook=14_06.xlsx&amp;sheet=U0&amp;row=962&amp;col=6&amp;number=4.8&amp;sourceID=14","4.8")</f>
        <v>4.8</v>
      </c>
      <c r="G962" s="4" t="str">
        <f>HYPERLINK("http://141.218.60.56/~jnz1568/getInfo.php?workbook=14_06.xlsx&amp;sheet=U0&amp;row=962&amp;col=7&amp;number=0.0292&amp;sourceID=14","0.0292")</f>
        <v>0.0292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HYPERLINK("http://141.218.60.56/~jnz1568/getInfo.php?workbook=14_06.xlsx&amp;sheet=U0&amp;row=963&amp;col=6&amp;number=4.9&amp;sourceID=14","4.9")</f>
        <v>4.9</v>
      </c>
      <c r="G963" s="4" t="str">
        <f>HYPERLINK("http://141.218.60.56/~jnz1568/getInfo.php?workbook=14_06.xlsx&amp;sheet=U0&amp;row=963&amp;col=7&amp;number=0.0289&amp;sourceID=14","0.0289")</f>
        <v>0.0289</v>
      </c>
    </row>
    <row r="964" spans="1:7">
      <c r="A964" s="3">
        <v>14</v>
      </c>
      <c r="B964" s="3">
        <v>6</v>
      </c>
      <c r="C964" s="3">
        <v>2</v>
      </c>
      <c r="D964" s="3">
        <v>6</v>
      </c>
      <c r="E964" s="3">
        <v>1</v>
      </c>
      <c r="F964" s="4" t="str">
        <f>HYPERLINK("http://141.218.60.56/~jnz1568/getInfo.php?workbook=14_06.xlsx&amp;sheet=U0&amp;row=964&amp;col=6&amp;number=3&amp;sourceID=14","3")</f>
        <v>3</v>
      </c>
      <c r="G964" s="4" t="str">
        <f>HYPERLINK("http://141.218.60.56/~jnz1568/getInfo.php?workbook=14_06.xlsx&amp;sheet=U0&amp;row=964&amp;col=7&amp;number=0.0408&amp;sourceID=14","0.0408")</f>
        <v>0.0408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HYPERLINK("http://141.218.60.56/~jnz1568/getInfo.php?workbook=14_06.xlsx&amp;sheet=U0&amp;row=965&amp;col=6&amp;number=3.1&amp;sourceID=14","3.1")</f>
        <v>3.1</v>
      </c>
      <c r="G965" s="4" t="str">
        <f>HYPERLINK("http://141.218.60.56/~jnz1568/getInfo.php?workbook=14_06.xlsx&amp;sheet=U0&amp;row=965&amp;col=7&amp;number=0.0408&amp;sourceID=14","0.0408")</f>
        <v>0.0408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HYPERLINK("http://141.218.60.56/~jnz1568/getInfo.php?workbook=14_06.xlsx&amp;sheet=U0&amp;row=966&amp;col=6&amp;number=3.2&amp;sourceID=14","3.2")</f>
        <v>3.2</v>
      </c>
      <c r="G966" s="4" t="str">
        <f>HYPERLINK("http://141.218.60.56/~jnz1568/getInfo.php?workbook=14_06.xlsx&amp;sheet=U0&amp;row=966&amp;col=7&amp;number=0.0408&amp;sourceID=14","0.0408")</f>
        <v>0.0408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HYPERLINK("http://141.218.60.56/~jnz1568/getInfo.php?workbook=14_06.xlsx&amp;sheet=U0&amp;row=967&amp;col=6&amp;number=3.3&amp;sourceID=14","3.3")</f>
        <v>3.3</v>
      </c>
      <c r="G967" s="4" t="str">
        <f>HYPERLINK("http://141.218.60.56/~jnz1568/getInfo.php?workbook=14_06.xlsx&amp;sheet=U0&amp;row=967&amp;col=7&amp;number=0.0408&amp;sourceID=14","0.0408")</f>
        <v>0.0408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HYPERLINK("http://141.218.60.56/~jnz1568/getInfo.php?workbook=14_06.xlsx&amp;sheet=U0&amp;row=968&amp;col=6&amp;number=3.4&amp;sourceID=14","3.4")</f>
        <v>3.4</v>
      </c>
      <c r="G968" s="4" t="str">
        <f>HYPERLINK("http://141.218.60.56/~jnz1568/getInfo.php?workbook=14_06.xlsx&amp;sheet=U0&amp;row=968&amp;col=7&amp;number=0.0408&amp;sourceID=14","0.0408")</f>
        <v>0.0408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HYPERLINK("http://141.218.60.56/~jnz1568/getInfo.php?workbook=14_06.xlsx&amp;sheet=U0&amp;row=969&amp;col=6&amp;number=3.5&amp;sourceID=14","3.5")</f>
        <v>3.5</v>
      </c>
      <c r="G969" s="4" t="str">
        <f>HYPERLINK("http://141.218.60.56/~jnz1568/getInfo.php?workbook=14_06.xlsx&amp;sheet=U0&amp;row=969&amp;col=7&amp;number=0.0408&amp;sourceID=14","0.0408")</f>
        <v>0.0408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HYPERLINK("http://141.218.60.56/~jnz1568/getInfo.php?workbook=14_06.xlsx&amp;sheet=U0&amp;row=970&amp;col=6&amp;number=3.6&amp;sourceID=14","3.6")</f>
        <v>3.6</v>
      </c>
      <c r="G970" s="4" t="str">
        <f>HYPERLINK("http://141.218.60.56/~jnz1568/getInfo.php?workbook=14_06.xlsx&amp;sheet=U0&amp;row=970&amp;col=7&amp;number=0.0408&amp;sourceID=14","0.0408")</f>
        <v>0.0408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HYPERLINK("http://141.218.60.56/~jnz1568/getInfo.php?workbook=14_06.xlsx&amp;sheet=U0&amp;row=971&amp;col=6&amp;number=3.7&amp;sourceID=14","3.7")</f>
        <v>3.7</v>
      </c>
      <c r="G971" s="4" t="str">
        <f>HYPERLINK("http://141.218.60.56/~jnz1568/getInfo.php?workbook=14_06.xlsx&amp;sheet=U0&amp;row=971&amp;col=7&amp;number=0.0408&amp;sourceID=14","0.0408")</f>
        <v>0.0408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HYPERLINK("http://141.218.60.56/~jnz1568/getInfo.php?workbook=14_06.xlsx&amp;sheet=U0&amp;row=972&amp;col=6&amp;number=3.8&amp;sourceID=14","3.8")</f>
        <v>3.8</v>
      </c>
      <c r="G972" s="4" t="str">
        <f>HYPERLINK("http://141.218.60.56/~jnz1568/getInfo.php?workbook=14_06.xlsx&amp;sheet=U0&amp;row=972&amp;col=7&amp;number=0.0408&amp;sourceID=14","0.0408")</f>
        <v>0.0408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HYPERLINK("http://141.218.60.56/~jnz1568/getInfo.php?workbook=14_06.xlsx&amp;sheet=U0&amp;row=973&amp;col=6&amp;number=3.9&amp;sourceID=14","3.9")</f>
        <v>3.9</v>
      </c>
      <c r="G973" s="4" t="str">
        <f>HYPERLINK("http://141.218.60.56/~jnz1568/getInfo.php?workbook=14_06.xlsx&amp;sheet=U0&amp;row=973&amp;col=7&amp;number=0.0408&amp;sourceID=14","0.0408")</f>
        <v>0.0408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HYPERLINK("http://141.218.60.56/~jnz1568/getInfo.php?workbook=14_06.xlsx&amp;sheet=U0&amp;row=974&amp;col=6&amp;number=4&amp;sourceID=14","4")</f>
        <v>4</v>
      </c>
      <c r="G974" s="4" t="str">
        <f>HYPERLINK("http://141.218.60.56/~jnz1568/getInfo.php?workbook=14_06.xlsx&amp;sheet=U0&amp;row=974&amp;col=7&amp;number=0.0408&amp;sourceID=14","0.0408")</f>
        <v>0.0408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HYPERLINK("http://141.218.60.56/~jnz1568/getInfo.php?workbook=14_06.xlsx&amp;sheet=U0&amp;row=975&amp;col=6&amp;number=4.1&amp;sourceID=14","4.1")</f>
        <v>4.1</v>
      </c>
      <c r="G975" s="4" t="str">
        <f>HYPERLINK("http://141.218.60.56/~jnz1568/getInfo.php?workbook=14_06.xlsx&amp;sheet=U0&amp;row=975&amp;col=7&amp;number=0.0407&amp;sourceID=14","0.0407")</f>
        <v>0.0407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HYPERLINK("http://141.218.60.56/~jnz1568/getInfo.php?workbook=14_06.xlsx&amp;sheet=U0&amp;row=976&amp;col=6&amp;number=4.2&amp;sourceID=14","4.2")</f>
        <v>4.2</v>
      </c>
      <c r="G976" s="4" t="str">
        <f>HYPERLINK("http://141.218.60.56/~jnz1568/getInfo.php?workbook=14_06.xlsx&amp;sheet=U0&amp;row=976&amp;col=7&amp;number=0.0407&amp;sourceID=14","0.0407")</f>
        <v>0.0407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HYPERLINK("http://141.218.60.56/~jnz1568/getInfo.php?workbook=14_06.xlsx&amp;sheet=U0&amp;row=977&amp;col=6&amp;number=4.3&amp;sourceID=14","4.3")</f>
        <v>4.3</v>
      </c>
      <c r="G977" s="4" t="str">
        <f>HYPERLINK("http://141.218.60.56/~jnz1568/getInfo.php?workbook=14_06.xlsx&amp;sheet=U0&amp;row=977&amp;col=7&amp;number=0.0407&amp;sourceID=14","0.0407")</f>
        <v>0.0407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HYPERLINK("http://141.218.60.56/~jnz1568/getInfo.php?workbook=14_06.xlsx&amp;sheet=U0&amp;row=978&amp;col=6&amp;number=4.4&amp;sourceID=14","4.4")</f>
        <v>4.4</v>
      </c>
      <c r="G978" s="4" t="str">
        <f>HYPERLINK("http://141.218.60.56/~jnz1568/getInfo.php?workbook=14_06.xlsx&amp;sheet=U0&amp;row=978&amp;col=7&amp;number=0.0406&amp;sourceID=14","0.0406")</f>
        <v>0.0406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HYPERLINK("http://141.218.60.56/~jnz1568/getInfo.php?workbook=14_06.xlsx&amp;sheet=U0&amp;row=979&amp;col=6&amp;number=4.5&amp;sourceID=14","4.5")</f>
        <v>4.5</v>
      </c>
      <c r="G979" s="4" t="str">
        <f>HYPERLINK("http://141.218.60.56/~jnz1568/getInfo.php?workbook=14_06.xlsx&amp;sheet=U0&amp;row=979&amp;col=7&amp;number=0.0406&amp;sourceID=14","0.0406")</f>
        <v>0.0406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HYPERLINK("http://141.218.60.56/~jnz1568/getInfo.php?workbook=14_06.xlsx&amp;sheet=U0&amp;row=980&amp;col=6&amp;number=4.6&amp;sourceID=14","4.6")</f>
        <v>4.6</v>
      </c>
      <c r="G980" s="4" t="str">
        <f>HYPERLINK("http://141.218.60.56/~jnz1568/getInfo.php?workbook=14_06.xlsx&amp;sheet=U0&amp;row=980&amp;col=7&amp;number=0.0405&amp;sourceID=14","0.0405")</f>
        <v>0.0405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HYPERLINK("http://141.218.60.56/~jnz1568/getInfo.php?workbook=14_06.xlsx&amp;sheet=U0&amp;row=981&amp;col=6&amp;number=4.7&amp;sourceID=14","4.7")</f>
        <v>4.7</v>
      </c>
      <c r="G981" s="4" t="str">
        <f>HYPERLINK("http://141.218.60.56/~jnz1568/getInfo.php?workbook=14_06.xlsx&amp;sheet=U0&amp;row=981&amp;col=7&amp;number=0.0404&amp;sourceID=14","0.0404")</f>
        <v>0.0404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HYPERLINK("http://141.218.60.56/~jnz1568/getInfo.php?workbook=14_06.xlsx&amp;sheet=U0&amp;row=982&amp;col=6&amp;number=4.8&amp;sourceID=14","4.8")</f>
        <v>4.8</v>
      </c>
      <c r="G982" s="4" t="str">
        <f>HYPERLINK("http://141.218.60.56/~jnz1568/getInfo.php?workbook=14_06.xlsx&amp;sheet=U0&amp;row=982&amp;col=7&amp;number=0.0403&amp;sourceID=14","0.0403")</f>
        <v>0.0403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HYPERLINK("http://141.218.60.56/~jnz1568/getInfo.php?workbook=14_06.xlsx&amp;sheet=U0&amp;row=983&amp;col=6&amp;number=4.9&amp;sourceID=14","4.9")</f>
        <v>4.9</v>
      </c>
      <c r="G983" s="4" t="str">
        <f>HYPERLINK("http://141.218.60.56/~jnz1568/getInfo.php?workbook=14_06.xlsx&amp;sheet=U0&amp;row=983&amp;col=7&amp;number=0.0402&amp;sourceID=14","0.0402")</f>
        <v>0.0402</v>
      </c>
    </row>
    <row r="984" spans="1:7">
      <c r="A984" s="3">
        <v>14</v>
      </c>
      <c r="B984" s="3">
        <v>6</v>
      </c>
      <c r="C984" s="3">
        <v>2</v>
      </c>
      <c r="D984" s="3">
        <v>7</v>
      </c>
      <c r="E984" s="3">
        <v>1</v>
      </c>
      <c r="F984" s="4" t="str">
        <f>HYPERLINK("http://141.218.60.56/~jnz1568/getInfo.php?workbook=14_06.xlsx&amp;sheet=U0&amp;row=984&amp;col=6&amp;number=3&amp;sourceID=14","3")</f>
        <v>3</v>
      </c>
      <c r="G984" s="4" t="str">
        <f>HYPERLINK("http://141.218.60.56/~jnz1568/getInfo.php?workbook=14_06.xlsx&amp;sheet=U0&amp;row=984&amp;col=7&amp;number=0.637&amp;sourceID=14","0.637")</f>
        <v>0.637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HYPERLINK("http://141.218.60.56/~jnz1568/getInfo.php?workbook=14_06.xlsx&amp;sheet=U0&amp;row=985&amp;col=6&amp;number=3.1&amp;sourceID=14","3.1")</f>
        <v>3.1</v>
      </c>
      <c r="G985" s="4" t="str">
        <f>HYPERLINK("http://141.218.60.56/~jnz1568/getInfo.php?workbook=14_06.xlsx&amp;sheet=U0&amp;row=985&amp;col=7&amp;number=0.638&amp;sourceID=14","0.638")</f>
        <v>0.638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HYPERLINK("http://141.218.60.56/~jnz1568/getInfo.php?workbook=14_06.xlsx&amp;sheet=U0&amp;row=986&amp;col=6&amp;number=3.2&amp;sourceID=14","3.2")</f>
        <v>3.2</v>
      </c>
      <c r="G986" s="4" t="str">
        <f>HYPERLINK("http://141.218.60.56/~jnz1568/getInfo.php?workbook=14_06.xlsx&amp;sheet=U0&amp;row=986&amp;col=7&amp;number=0.638&amp;sourceID=14","0.638")</f>
        <v>0.638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HYPERLINK("http://141.218.60.56/~jnz1568/getInfo.php?workbook=14_06.xlsx&amp;sheet=U0&amp;row=987&amp;col=6&amp;number=3.3&amp;sourceID=14","3.3")</f>
        <v>3.3</v>
      </c>
      <c r="G987" s="4" t="str">
        <f>HYPERLINK("http://141.218.60.56/~jnz1568/getInfo.php?workbook=14_06.xlsx&amp;sheet=U0&amp;row=987&amp;col=7&amp;number=0.638&amp;sourceID=14","0.638")</f>
        <v>0.638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HYPERLINK("http://141.218.60.56/~jnz1568/getInfo.php?workbook=14_06.xlsx&amp;sheet=U0&amp;row=988&amp;col=6&amp;number=3.4&amp;sourceID=14","3.4")</f>
        <v>3.4</v>
      </c>
      <c r="G988" s="4" t="str">
        <f>HYPERLINK("http://141.218.60.56/~jnz1568/getInfo.php?workbook=14_06.xlsx&amp;sheet=U0&amp;row=988&amp;col=7&amp;number=0.638&amp;sourceID=14","0.638")</f>
        <v>0.638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HYPERLINK("http://141.218.60.56/~jnz1568/getInfo.php?workbook=14_06.xlsx&amp;sheet=U0&amp;row=989&amp;col=6&amp;number=3.5&amp;sourceID=14","3.5")</f>
        <v>3.5</v>
      </c>
      <c r="G989" s="4" t="str">
        <f>HYPERLINK("http://141.218.60.56/~jnz1568/getInfo.php?workbook=14_06.xlsx&amp;sheet=U0&amp;row=989&amp;col=7&amp;number=0.638&amp;sourceID=14","0.638")</f>
        <v>0.638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HYPERLINK("http://141.218.60.56/~jnz1568/getInfo.php?workbook=14_06.xlsx&amp;sheet=U0&amp;row=990&amp;col=6&amp;number=3.6&amp;sourceID=14","3.6")</f>
        <v>3.6</v>
      </c>
      <c r="G990" s="4" t="str">
        <f>HYPERLINK("http://141.218.60.56/~jnz1568/getInfo.php?workbook=14_06.xlsx&amp;sheet=U0&amp;row=990&amp;col=7&amp;number=0.639&amp;sourceID=14","0.639")</f>
        <v>0.639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HYPERLINK("http://141.218.60.56/~jnz1568/getInfo.php?workbook=14_06.xlsx&amp;sheet=U0&amp;row=991&amp;col=6&amp;number=3.7&amp;sourceID=14","3.7")</f>
        <v>3.7</v>
      </c>
      <c r="G991" s="4" t="str">
        <f>HYPERLINK("http://141.218.60.56/~jnz1568/getInfo.php?workbook=14_06.xlsx&amp;sheet=U0&amp;row=991&amp;col=7&amp;number=0.639&amp;sourceID=14","0.639")</f>
        <v>0.639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HYPERLINK("http://141.218.60.56/~jnz1568/getInfo.php?workbook=14_06.xlsx&amp;sheet=U0&amp;row=992&amp;col=6&amp;number=3.8&amp;sourceID=14","3.8")</f>
        <v>3.8</v>
      </c>
      <c r="G992" s="4" t="str">
        <f>HYPERLINK("http://141.218.60.56/~jnz1568/getInfo.php?workbook=14_06.xlsx&amp;sheet=U0&amp;row=992&amp;col=7&amp;number=0.64&amp;sourceID=14","0.64")</f>
        <v>0.64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HYPERLINK("http://141.218.60.56/~jnz1568/getInfo.php?workbook=14_06.xlsx&amp;sheet=U0&amp;row=993&amp;col=6&amp;number=3.9&amp;sourceID=14","3.9")</f>
        <v>3.9</v>
      </c>
      <c r="G993" s="4" t="str">
        <f>HYPERLINK("http://141.218.60.56/~jnz1568/getInfo.php?workbook=14_06.xlsx&amp;sheet=U0&amp;row=993&amp;col=7&amp;number=0.64&amp;sourceID=14","0.64")</f>
        <v>0.64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HYPERLINK("http://141.218.60.56/~jnz1568/getInfo.php?workbook=14_06.xlsx&amp;sheet=U0&amp;row=994&amp;col=6&amp;number=4&amp;sourceID=14","4")</f>
        <v>4</v>
      </c>
      <c r="G994" s="4" t="str">
        <f>HYPERLINK("http://141.218.60.56/~jnz1568/getInfo.php?workbook=14_06.xlsx&amp;sheet=U0&amp;row=994&amp;col=7&amp;number=0.641&amp;sourceID=14","0.641")</f>
        <v>0.641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HYPERLINK("http://141.218.60.56/~jnz1568/getInfo.php?workbook=14_06.xlsx&amp;sheet=U0&amp;row=995&amp;col=6&amp;number=4.1&amp;sourceID=14","4.1")</f>
        <v>4.1</v>
      </c>
      <c r="G995" s="4" t="str">
        <f>HYPERLINK("http://141.218.60.56/~jnz1568/getInfo.php?workbook=14_06.xlsx&amp;sheet=U0&amp;row=995&amp;col=7&amp;number=0.642&amp;sourceID=14","0.642")</f>
        <v>0.642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HYPERLINK("http://141.218.60.56/~jnz1568/getInfo.php?workbook=14_06.xlsx&amp;sheet=U0&amp;row=996&amp;col=6&amp;number=4.2&amp;sourceID=14","4.2")</f>
        <v>4.2</v>
      </c>
      <c r="G996" s="4" t="str">
        <f>HYPERLINK("http://141.218.60.56/~jnz1568/getInfo.php?workbook=14_06.xlsx&amp;sheet=U0&amp;row=996&amp;col=7&amp;number=0.643&amp;sourceID=14","0.643")</f>
        <v>0.643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HYPERLINK("http://141.218.60.56/~jnz1568/getInfo.php?workbook=14_06.xlsx&amp;sheet=U0&amp;row=997&amp;col=6&amp;number=4.3&amp;sourceID=14","4.3")</f>
        <v>4.3</v>
      </c>
      <c r="G997" s="4" t="str">
        <f>HYPERLINK("http://141.218.60.56/~jnz1568/getInfo.php?workbook=14_06.xlsx&amp;sheet=U0&amp;row=997&amp;col=7&amp;number=0.645&amp;sourceID=14","0.645")</f>
        <v>0.645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HYPERLINK("http://141.218.60.56/~jnz1568/getInfo.php?workbook=14_06.xlsx&amp;sheet=U0&amp;row=998&amp;col=6&amp;number=4.4&amp;sourceID=14","4.4")</f>
        <v>4.4</v>
      </c>
      <c r="G998" s="4" t="str">
        <f>HYPERLINK("http://141.218.60.56/~jnz1568/getInfo.php?workbook=14_06.xlsx&amp;sheet=U0&amp;row=998&amp;col=7&amp;number=0.647&amp;sourceID=14","0.647")</f>
        <v>0.647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HYPERLINK("http://141.218.60.56/~jnz1568/getInfo.php?workbook=14_06.xlsx&amp;sheet=U0&amp;row=999&amp;col=6&amp;number=4.5&amp;sourceID=14","4.5")</f>
        <v>4.5</v>
      </c>
      <c r="G999" s="4" t="str">
        <f>HYPERLINK("http://141.218.60.56/~jnz1568/getInfo.php?workbook=14_06.xlsx&amp;sheet=U0&amp;row=999&amp;col=7&amp;number=0.649&amp;sourceID=14","0.649")</f>
        <v>0.649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HYPERLINK("http://141.218.60.56/~jnz1568/getInfo.php?workbook=14_06.xlsx&amp;sheet=U0&amp;row=1000&amp;col=6&amp;number=4.6&amp;sourceID=14","4.6")</f>
        <v>4.6</v>
      </c>
      <c r="G1000" s="4" t="str">
        <f>HYPERLINK("http://141.218.60.56/~jnz1568/getInfo.php?workbook=14_06.xlsx&amp;sheet=U0&amp;row=1000&amp;col=7&amp;number=0.652&amp;sourceID=14","0.652")</f>
        <v>0.652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HYPERLINK("http://141.218.60.56/~jnz1568/getInfo.php?workbook=14_06.xlsx&amp;sheet=U0&amp;row=1001&amp;col=6&amp;number=4.7&amp;sourceID=14","4.7")</f>
        <v>4.7</v>
      </c>
      <c r="G1001" s="4" t="str">
        <f>HYPERLINK("http://141.218.60.56/~jnz1568/getInfo.php?workbook=14_06.xlsx&amp;sheet=U0&amp;row=1001&amp;col=7&amp;number=0.656&amp;sourceID=14","0.656")</f>
        <v>0.656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HYPERLINK("http://141.218.60.56/~jnz1568/getInfo.php?workbook=14_06.xlsx&amp;sheet=U0&amp;row=1002&amp;col=6&amp;number=4.8&amp;sourceID=14","4.8")</f>
        <v>4.8</v>
      </c>
      <c r="G1002" s="4" t="str">
        <f>HYPERLINK("http://141.218.60.56/~jnz1568/getInfo.php?workbook=14_06.xlsx&amp;sheet=U0&amp;row=1002&amp;col=7&amp;number=0.661&amp;sourceID=14","0.661")</f>
        <v>0.661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HYPERLINK("http://141.218.60.56/~jnz1568/getInfo.php?workbook=14_06.xlsx&amp;sheet=U0&amp;row=1003&amp;col=6&amp;number=4.9&amp;sourceID=14","4.9")</f>
        <v>4.9</v>
      </c>
      <c r="G1003" s="4" t="str">
        <f>HYPERLINK("http://141.218.60.56/~jnz1568/getInfo.php?workbook=14_06.xlsx&amp;sheet=U0&amp;row=1003&amp;col=7&amp;number=0.667&amp;sourceID=14","0.667")</f>
        <v>0.667</v>
      </c>
    </row>
    <row r="1004" spans="1:7">
      <c r="A1004" s="3">
        <v>14</v>
      </c>
      <c r="B1004" s="3">
        <v>6</v>
      </c>
      <c r="C1004" s="3">
        <v>2</v>
      </c>
      <c r="D1004" s="3">
        <v>8</v>
      </c>
      <c r="E1004" s="3">
        <v>1</v>
      </c>
      <c r="F1004" s="4" t="str">
        <f>HYPERLINK("http://141.218.60.56/~jnz1568/getInfo.php?workbook=14_06.xlsx&amp;sheet=U0&amp;row=1004&amp;col=6&amp;number=3&amp;sourceID=14","3")</f>
        <v>3</v>
      </c>
      <c r="G1004" s="4" t="str">
        <f>HYPERLINK("http://141.218.60.56/~jnz1568/getInfo.php?workbook=14_06.xlsx&amp;sheet=U0&amp;row=1004&amp;col=7&amp;number=0.179&amp;sourceID=14","0.179")</f>
        <v>0.179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HYPERLINK("http://141.218.60.56/~jnz1568/getInfo.php?workbook=14_06.xlsx&amp;sheet=U0&amp;row=1005&amp;col=6&amp;number=3.1&amp;sourceID=14","3.1")</f>
        <v>3.1</v>
      </c>
      <c r="G1005" s="4" t="str">
        <f>HYPERLINK("http://141.218.60.56/~jnz1568/getInfo.php?workbook=14_06.xlsx&amp;sheet=U0&amp;row=1005&amp;col=7&amp;number=0.179&amp;sourceID=14","0.179")</f>
        <v>0.179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HYPERLINK("http://141.218.60.56/~jnz1568/getInfo.php?workbook=14_06.xlsx&amp;sheet=U0&amp;row=1006&amp;col=6&amp;number=3.2&amp;sourceID=14","3.2")</f>
        <v>3.2</v>
      </c>
      <c r="G1006" s="4" t="str">
        <f>HYPERLINK("http://141.218.60.56/~jnz1568/getInfo.php?workbook=14_06.xlsx&amp;sheet=U0&amp;row=1006&amp;col=7&amp;number=0.179&amp;sourceID=14","0.179")</f>
        <v>0.179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HYPERLINK("http://141.218.60.56/~jnz1568/getInfo.php?workbook=14_06.xlsx&amp;sheet=U0&amp;row=1007&amp;col=6&amp;number=3.3&amp;sourceID=14","3.3")</f>
        <v>3.3</v>
      </c>
      <c r="G1007" s="4" t="str">
        <f>HYPERLINK("http://141.218.60.56/~jnz1568/getInfo.php?workbook=14_06.xlsx&amp;sheet=U0&amp;row=1007&amp;col=7&amp;number=0.179&amp;sourceID=14","0.179")</f>
        <v>0.179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HYPERLINK("http://141.218.60.56/~jnz1568/getInfo.php?workbook=14_06.xlsx&amp;sheet=U0&amp;row=1008&amp;col=6&amp;number=3.4&amp;sourceID=14","3.4")</f>
        <v>3.4</v>
      </c>
      <c r="G1008" s="4" t="str">
        <f>HYPERLINK("http://141.218.60.56/~jnz1568/getInfo.php?workbook=14_06.xlsx&amp;sheet=U0&amp;row=1008&amp;col=7&amp;number=0.179&amp;sourceID=14","0.179")</f>
        <v>0.179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HYPERLINK("http://141.218.60.56/~jnz1568/getInfo.php?workbook=14_06.xlsx&amp;sheet=U0&amp;row=1009&amp;col=6&amp;number=3.5&amp;sourceID=14","3.5")</f>
        <v>3.5</v>
      </c>
      <c r="G1009" s="4" t="str">
        <f>HYPERLINK("http://141.218.60.56/~jnz1568/getInfo.php?workbook=14_06.xlsx&amp;sheet=U0&amp;row=1009&amp;col=7&amp;number=0.179&amp;sourceID=14","0.179")</f>
        <v>0.179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HYPERLINK("http://141.218.60.56/~jnz1568/getInfo.php?workbook=14_06.xlsx&amp;sheet=U0&amp;row=1010&amp;col=6&amp;number=3.6&amp;sourceID=14","3.6")</f>
        <v>3.6</v>
      </c>
      <c r="G1010" s="4" t="str">
        <f>HYPERLINK("http://141.218.60.56/~jnz1568/getInfo.php?workbook=14_06.xlsx&amp;sheet=U0&amp;row=1010&amp;col=7&amp;number=0.179&amp;sourceID=14","0.179")</f>
        <v>0.179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HYPERLINK("http://141.218.60.56/~jnz1568/getInfo.php?workbook=14_06.xlsx&amp;sheet=U0&amp;row=1011&amp;col=6&amp;number=3.7&amp;sourceID=14","3.7")</f>
        <v>3.7</v>
      </c>
      <c r="G1011" s="4" t="str">
        <f>HYPERLINK("http://141.218.60.56/~jnz1568/getInfo.php?workbook=14_06.xlsx&amp;sheet=U0&amp;row=1011&amp;col=7&amp;number=0.179&amp;sourceID=14","0.179")</f>
        <v>0.179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HYPERLINK("http://141.218.60.56/~jnz1568/getInfo.php?workbook=14_06.xlsx&amp;sheet=U0&amp;row=1012&amp;col=6&amp;number=3.8&amp;sourceID=14","3.8")</f>
        <v>3.8</v>
      </c>
      <c r="G1012" s="4" t="str">
        <f>HYPERLINK("http://141.218.60.56/~jnz1568/getInfo.php?workbook=14_06.xlsx&amp;sheet=U0&amp;row=1012&amp;col=7&amp;number=0.18&amp;sourceID=14","0.18")</f>
        <v>0.18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HYPERLINK("http://141.218.60.56/~jnz1568/getInfo.php?workbook=14_06.xlsx&amp;sheet=U0&amp;row=1013&amp;col=6&amp;number=3.9&amp;sourceID=14","3.9")</f>
        <v>3.9</v>
      </c>
      <c r="G1013" s="4" t="str">
        <f>HYPERLINK("http://141.218.60.56/~jnz1568/getInfo.php?workbook=14_06.xlsx&amp;sheet=U0&amp;row=1013&amp;col=7&amp;number=0.18&amp;sourceID=14","0.18")</f>
        <v>0.18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HYPERLINK("http://141.218.60.56/~jnz1568/getInfo.php?workbook=14_06.xlsx&amp;sheet=U0&amp;row=1014&amp;col=6&amp;number=4&amp;sourceID=14","4")</f>
        <v>4</v>
      </c>
      <c r="G1014" s="4" t="str">
        <f>HYPERLINK("http://141.218.60.56/~jnz1568/getInfo.php?workbook=14_06.xlsx&amp;sheet=U0&amp;row=1014&amp;col=7&amp;number=0.18&amp;sourceID=14","0.18")</f>
        <v>0.18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HYPERLINK("http://141.218.60.56/~jnz1568/getInfo.php?workbook=14_06.xlsx&amp;sheet=U0&amp;row=1015&amp;col=6&amp;number=4.1&amp;sourceID=14","4.1")</f>
        <v>4.1</v>
      </c>
      <c r="G1015" s="4" t="str">
        <f>HYPERLINK("http://141.218.60.56/~jnz1568/getInfo.php?workbook=14_06.xlsx&amp;sheet=U0&amp;row=1015&amp;col=7&amp;number=0.18&amp;sourceID=14","0.18")</f>
        <v>0.18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HYPERLINK("http://141.218.60.56/~jnz1568/getInfo.php?workbook=14_06.xlsx&amp;sheet=U0&amp;row=1016&amp;col=6&amp;number=4.2&amp;sourceID=14","4.2")</f>
        <v>4.2</v>
      </c>
      <c r="G1016" s="4" t="str">
        <f>HYPERLINK("http://141.218.60.56/~jnz1568/getInfo.php?workbook=14_06.xlsx&amp;sheet=U0&amp;row=1016&amp;col=7&amp;number=0.18&amp;sourceID=14","0.18")</f>
        <v>0.18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HYPERLINK("http://141.218.60.56/~jnz1568/getInfo.php?workbook=14_06.xlsx&amp;sheet=U0&amp;row=1017&amp;col=6&amp;number=4.3&amp;sourceID=14","4.3")</f>
        <v>4.3</v>
      </c>
      <c r="G1017" s="4" t="str">
        <f>HYPERLINK("http://141.218.60.56/~jnz1568/getInfo.php?workbook=14_06.xlsx&amp;sheet=U0&amp;row=1017&amp;col=7&amp;number=0.181&amp;sourceID=14","0.181")</f>
        <v>0.181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HYPERLINK("http://141.218.60.56/~jnz1568/getInfo.php?workbook=14_06.xlsx&amp;sheet=U0&amp;row=1018&amp;col=6&amp;number=4.4&amp;sourceID=14","4.4")</f>
        <v>4.4</v>
      </c>
      <c r="G1018" s="4" t="str">
        <f>HYPERLINK("http://141.218.60.56/~jnz1568/getInfo.php?workbook=14_06.xlsx&amp;sheet=U0&amp;row=1018&amp;col=7&amp;number=0.181&amp;sourceID=14","0.181")</f>
        <v>0.181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HYPERLINK("http://141.218.60.56/~jnz1568/getInfo.php?workbook=14_06.xlsx&amp;sheet=U0&amp;row=1019&amp;col=6&amp;number=4.5&amp;sourceID=14","4.5")</f>
        <v>4.5</v>
      </c>
      <c r="G1019" s="4" t="str">
        <f>HYPERLINK("http://141.218.60.56/~jnz1568/getInfo.php?workbook=14_06.xlsx&amp;sheet=U0&amp;row=1019&amp;col=7&amp;number=0.182&amp;sourceID=14","0.182")</f>
        <v>0.182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HYPERLINK("http://141.218.60.56/~jnz1568/getInfo.php?workbook=14_06.xlsx&amp;sheet=U0&amp;row=1020&amp;col=6&amp;number=4.6&amp;sourceID=14","4.6")</f>
        <v>4.6</v>
      </c>
      <c r="G1020" s="4" t="str">
        <f>HYPERLINK("http://141.218.60.56/~jnz1568/getInfo.php?workbook=14_06.xlsx&amp;sheet=U0&amp;row=1020&amp;col=7&amp;number=0.183&amp;sourceID=14","0.183")</f>
        <v>0.183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HYPERLINK("http://141.218.60.56/~jnz1568/getInfo.php?workbook=14_06.xlsx&amp;sheet=U0&amp;row=1021&amp;col=6&amp;number=4.7&amp;sourceID=14","4.7")</f>
        <v>4.7</v>
      </c>
      <c r="G1021" s="4" t="str">
        <f>HYPERLINK("http://141.218.60.56/~jnz1568/getInfo.php?workbook=14_06.xlsx&amp;sheet=U0&amp;row=1021&amp;col=7&amp;number=0.184&amp;sourceID=14","0.184")</f>
        <v>0.184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HYPERLINK("http://141.218.60.56/~jnz1568/getInfo.php?workbook=14_06.xlsx&amp;sheet=U0&amp;row=1022&amp;col=6&amp;number=4.8&amp;sourceID=14","4.8")</f>
        <v>4.8</v>
      </c>
      <c r="G1022" s="4" t="str">
        <f>HYPERLINK("http://141.218.60.56/~jnz1568/getInfo.php?workbook=14_06.xlsx&amp;sheet=U0&amp;row=1022&amp;col=7&amp;number=0.185&amp;sourceID=14","0.185")</f>
        <v>0.185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HYPERLINK("http://141.218.60.56/~jnz1568/getInfo.php?workbook=14_06.xlsx&amp;sheet=U0&amp;row=1023&amp;col=6&amp;number=4.9&amp;sourceID=14","4.9")</f>
        <v>4.9</v>
      </c>
      <c r="G1023" s="4" t="str">
        <f>HYPERLINK("http://141.218.60.56/~jnz1568/getInfo.php?workbook=14_06.xlsx&amp;sheet=U0&amp;row=1023&amp;col=7&amp;number=0.186&amp;sourceID=14","0.186")</f>
        <v>0.186</v>
      </c>
    </row>
    <row r="1024" spans="1:7">
      <c r="A1024" s="3">
        <v>14</v>
      </c>
      <c r="B1024" s="3">
        <v>6</v>
      </c>
      <c r="C1024" s="3">
        <v>2</v>
      </c>
      <c r="D1024" s="3">
        <v>9</v>
      </c>
      <c r="E1024" s="3">
        <v>1</v>
      </c>
      <c r="F1024" s="4" t="str">
        <f>HYPERLINK("http://141.218.60.56/~jnz1568/getInfo.php?workbook=14_06.xlsx&amp;sheet=U0&amp;row=1024&amp;col=6&amp;number=3&amp;sourceID=14","3")</f>
        <v>3</v>
      </c>
      <c r="G1024" s="4" t="str">
        <f>HYPERLINK("http://141.218.60.56/~jnz1568/getInfo.php?workbook=14_06.xlsx&amp;sheet=U0&amp;row=1024&amp;col=7&amp;number=0.0149&amp;sourceID=14","0.0149")</f>
        <v>0.0149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HYPERLINK("http://141.218.60.56/~jnz1568/getInfo.php?workbook=14_06.xlsx&amp;sheet=U0&amp;row=1025&amp;col=6&amp;number=3.1&amp;sourceID=14","3.1")</f>
        <v>3.1</v>
      </c>
      <c r="G1025" s="4" t="str">
        <f>HYPERLINK("http://141.218.60.56/~jnz1568/getInfo.php?workbook=14_06.xlsx&amp;sheet=U0&amp;row=1025&amp;col=7&amp;number=0.0149&amp;sourceID=14","0.0149")</f>
        <v>0.0149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HYPERLINK("http://141.218.60.56/~jnz1568/getInfo.php?workbook=14_06.xlsx&amp;sheet=U0&amp;row=1026&amp;col=6&amp;number=3.2&amp;sourceID=14","3.2")</f>
        <v>3.2</v>
      </c>
      <c r="G1026" s="4" t="str">
        <f>HYPERLINK("http://141.218.60.56/~jnz1568/getInfo.php?workbook=14_06.xlsx&amp;sheet=U0&amp;row=1026&amp;col=7&amp;number=0.0149&amp;sourceID=14","0.0149")</f>
        <v>0.0149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HYPERLINK("http://141.218.60.56/~jnz1568/getInfo.php?workbook=14_06.xlsx&amp;sheet=U0&amp;row=1027&amp;col=6&amp;number=3.3&amp;sourceID=14","3.3")</f>
        <v>3.3</v>
      </c>
      <c r="G1027" s="4" t="str">
        <f>HYPERLINK("http://141.218.60.56/~jnz1568/getInfo.php?workbook=14_06.xlsx&amp;sheet=U0&amp;row=1027&amp;col=7&amp;number=0.0149&amp;sourceID=14","0.0149")</f>
        <v>0.0149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HYPERLINK("http://141.218.60.56/~jnz1568/getInfo.php?workbook=14_06.xlsx&amp;sheet=U0&amp;row=1028&amp;col=6&amp;number=3.4&amp;sourceID=14","3.4")</f>
        <v>3.4</v>
      </c>
      <c r="G1028" s="4" t="str">
        <f>HYPERLINK("http://141.218.60.56/~jnz1568/getInfo.php?workbook=14_06.xlsx&amp;sheet=U0&amp;row=1028&amp;col=7&amp;number=0.0149&amp;sourceID=14","0.0149")</f>
        <v>0.0149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HYPERLINK("http://141.218.60.56/~jnz1568/getInfo.php?workbook=14_06.xlsx&amp;sheet=U0&amp;row=1029&amp;col=6&amp;number=3.5&amp;sourceID=14","3.5")</f>
        <v>3.5</v>
      </c>
      <c r="G1029" s="4" t="str">
        <f>HYPERLINK("http://141.218.60.56/~jnz1568/getInfo.php?workbook=14_06.xlsx&amp;sheet=U0&amp;row=1029&amp;col=7&amp;number=0.0149&amp;sourceID=14","0.0149")</f>
        <v>0.0149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HYPERLINK("http://141.218.60.56/~jnz1568/getInfo.php?workbook=14_06.xlsx&amp;sheet=U0&amp;row=1030&amp;col=6&amp;number=3.6&amp;sourceID=14","3.6")</f>
        <v>3.6</v>
      </c>
      <c r="G1030" s="4" t="str">
        <f>HYPERLINK("http://141.218.60.56/~jnz1568/getInfo.php?workbook=14_06.xlsx&amp;sheet=U0&amp;row=1030&amp;col=7&amp;number=0.0149&amp;sourceID=14","0.0149")</f>
        <v>0.0149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HYPERLINK("http://141.218.60.56/~jnz1568/getInfo.php?workbook=14_06.xlsx&amp;sheet=U0&amp;row=1031&amp;col=6&amp;number=3.7&amp;sourceID=14","3.7")</f>
        <v>3.7</v>
      </c>
      <c r="G1031" s="4" t="str">
        <f>HYPERLINK("http://141.218.60.56/~jnz1568/getInfo.php?workbook=14_06.xlsx&amp;sheet=U0&amp;row=1031&amp;col=7&amp;number=0.0149&amp;sourceID=14","0.0149")</f>
        <v>0.0149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HYPERLINK("http://141.218.60.56/~jnz1568/getInfo.php?workbook=14_06.xlsx&amp;sheet=U0&amp;row=1032&amp;col=6&amp;number=3.8&amp;sourceID=14","3.8")</f>
        <v>3.8</v>
      </c>
      <c r="G1032" s="4" t="str">
        <f>HYPERLINK("http://141.218.60.56/~jnz1568/getInfo.php?workbook=14_06.xlsx&amp;sheet=U0&amp;row=1032&amp;col=7&amp;number=0.0149&amp;sourceID=14","0.0149")</f>
        <v>0.0149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HYPERLINK("http://141.218.60.56/~jnz1568/getInfo.php?workbook=14_06.xlsx&amp;sheet=U0&amp;row=1033&amp;col=6&amp;number=3.9&amp;sourceID=14","3.9")</f>
        <v>3.9</v>
      </c>
      <c r="G1033" s="4" t="str">
        <f>HYPERLINK("http://141.218.60.56/~jnz1568/getInfo.php?workbook=14_06.xlsx&amp;sheet=U0&amp;row=1033&amp;col=7&amp;number=0.0149&amp;sourceID=14","0.0149")</f>
        <v>0.0149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HYPERLINK("http://141.218.60.56/~jnz1568/getInfo.php?workbook=14_06.xlsx&amp;sheet=U0&amp;row=1034&amp;col=6&amp;number=4&amp;sourceID=14","4")</f>
        <v>4</v>
      </c>
      <c r="G1034" s="4" t="str">
        <f>HYPERLINK("http://141.218.60.56/~jnz1568/getInfo.php?workbook=14_06.xlsx&amp;sheet=U0&amp;row=1034&amp;col=7&amp;number=0.0149&amp;sourceID=14","0.0149")</f>
        <v>0.0149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HYPERLINK("http://141.218.60.56/~jnz1568/getInfo.php?workbook=14_06.xlsx&amp;sheet=U0&amp;row=1035&amp;col=6&amp;number=4.1&amp;sourceID=14","4.1")</f>
        <v>4.1</v>
      </c>
      <c r="G1035" s="4" t="str">
        <f>HYPERLINK("http://141.218.60.56/~jnz1568/getInfo.php?workbook=14_06.xlsx&amp;sheet=U0&amp;row=1035&amp;col=7&amp;number=0.0149&amp;sourceID=14","0.0149")</f>
        <v>0.0149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HYPERLINK("http://141.218.60.56/~jnz1568/getInfo.php?workbook=14_06.xlsx&amp;sheet=U0&amp;row=1036&amp;col=6&amp;number=4.2&amp;sourceID=14","4.2")</f>
        <v>4.2</v>
      </c>
      <c r="G1036" s="4" t="str">
        <f>HYPERLINK("http://141.218.60.56/~jnz1568/getInfo.php?workbook=14_06.xlsx&amp;sheet=U0&amp;row=1036&amp;col=7&amp;number=0.0149&amp;sourceID=14","0.0149")</f>
        <v>0.0149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HYPERLINK("http://141.218.60.56/~jnz1568/getInfo.php?workbook=14_06.xlsx&amp;sheet=U0&amp;row=1037&amp;col=6&amp;number=4.3&amp;sourceID=14","4.3")</f>
        <v>4.3</v>
      </c>
      <c r="G1037" s="4" t="str">
        <f>HYPERLINK("http://141.218.60.56/~jnz1568/getInfo.php?workbook=14_06.xlsx&amp;sheet=U0&amp;row=1037&amp;col=7&amp;number=0.0149&amp;sourceID=14","0.0149")</f>
        <v>0.0149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HYPERLINK("http://141.218.60.56/~jnz1568/getInfo.php?workbook=14_06.xlsx&amp;sheet=U0&amp;row=1038&amp;col=6&amp;number=4.4&amp;sourceID=14","4.4")</f>
        <v>4.4</v>
      </c>
      <c r="G1038" s="4" t="str">
        <f>HYPERLINK("http://141.218.60.56/~jnz1568/getInfo.php?workbook=14_06.xlsx&amp;sheet=U0&amp;row=1038&amp;col=7&amp;number=0.0149&amp;sourceID=14","0.0149")</f>
        <v>0.0149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HYPERLINK("http://141.218.60.56/~jnz1568/getInfo.php?workbook=14_06.xlsx&amp;sheet=U0&amp;row=1039&amp;col=6&amp;number=4.5&amp;sourceID=14","4.5")</f>
        <v>4.5</v>
      </c>
      <c r="G1039" s="4" t="str">
        <f>HYPERLINK("http://141.218.60.56/~jnz1568/getInfo.php?workbook=14_06.xlsx&amp;sheet=U0&amp;row=1039&amp;col=7&amp;number=0.0148&amp;sourceID=14","0.0148")</f>
        <v>0.0148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HYPERLINK("http://141.218.60.56/~jnz1568/getInfo.php?workbook=14_06.xlsx&amp;sheet=U0&amp;row=1040&amp;col=6&amp;number=4.6&amp;sourceID=14","4.6")</f>
        <v>4.6</v>
      </c>
      <c r="G1040" s="4" t="str">
        <f>HYPERLINK("http://141.218.60.56/~jnz1568/getInfo.php?workbook=14_06.xlsx&amp;sheet=U0&amp;row=1040&amp;col=7&amp;number=0.0148&amp;sourceID=14","0.0148")</f>
        <v>0.0148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HYPERLINK("http://141.218.60.56/~jnz1568/getInfo.php?workbook=14_06.xlsx&amp;sheet=U0&amp;row=1041&amp;col=6&amp;number=4.7&amp;sourceID=14","4.7")</f>
        <v>4.7</v>
      </c>
      <c r="G1041" s="4" t="str">
        <f>HYPERLINK("http://141.218.60.56/~jnz1568/getInfo.php?workbook=14_06.xlsx&amp;sheet=U0&amp;row=1041&amp;col=7&amp;number=0.0148&amp;sourceID=14","0.0148")</f>
        <v>0.0148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HYPERLINK("http://141.218.60.56/~jnz1568/getInfo.php?workbook=14_06.xlsx&amp;sheet=U0&amp;row=1042&amp;col=6&amp;number=4.8&amp;sourceID=14","4.8")</f>
        <v>4.8</v>
      </c>
      <c r="G1042" s="4" t="str">
        <f>HYPERLINK("http://141.218.60.56/~jnz1568/getInfo.php?workbook=14_06.xlsx&amp;sheet=U0&amp;row=1042&amp;col=7&amp;number=0.0147&amp;sourceID=14","0.0147")</f>
        <v>0.0147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HYPERLINK("http://141.218.60.56/~jnz1568/getInfo.php?workbook=14_06.xlsx&amp;sheet=U0&amp;row=1043&amp;col=6&amp;number=4.9&amp;sourceID=14","4.9")</f>
        <v>4.9</v>
      </c>
      <c r="G1043" s="4" t="str">
        <f>HYPERLINK("http://141.218.60.56/~jnz1568/getInfo.php?workbook=14_06.xlsx&amp;sheet=U0&amp;row=1043&amp;col=7&amp;number=0.0147&amp;sourceID=14","0.0147")</f>
        <v>0.0147</v>
      </c>
    </row>
    <row r="1044" spans="1:7">
      <c r="A1044" s="3">
        <v>14</v>
      </c>
      <c r="B1044" s="3">
        <v>6</v>
      </c>
      <c r="C1044" s="3">
        <v>2</v>
      </c>
      <c r="D1044" s="3">
        <v>10</v>
      </c>
      <c r="E1044" s="3">
        <v>1</v>
      </c>
      <c r="F1044" s="4" t="str">
        <f>HYPERLINK("http://141.218.60.56/~jnz1568/getInfo.php?workbook=14_06.xlsx&amp;sheet=U0&amp;row=1044&amp;col=6&amp;number=3&amp;sourceID=14","3")</f>
        <v>3</v>
      </c>
      <c r="G1044" s="4" t="str">
        <f>HYPERLINK("http://141.218.60.56/~jnz1568/getInfo.php?workbook=14_06.xlsx&amp;sheet=U0&amp;row=1044&amp;col=7&amp;number=0.256&amp;sourceID=14","0.256")</f>
        <v>0.256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HYPERLINK("http://141.218.60.56/~jnz1568/getInfo.php?workbook=14_06.xlsx&amp;sheet=U0&amp;row=1045&amp;col=6&amp;number=3.1&amp;sourceID=14","3.1")</f>
        <v>3.1</v>
      </c>
      <c r="G1045" s="4" t="str">
        <f>HYPERLINK("http://141.218.60.56/~jnz1568/getInfo.php?workbook=14_06.xlsx&amp;sheet=U0&amp;row=1045&amp;col=7&amp;number=0.256&amp;sourceID=14","0.256")</f>
        <v>0.256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HYPERLINK("http://141.218.60.56/~jnz1568/getInfo.php?workbook=14_06.xlsx&amp;sheet=U0&amp;row=1046&amp;col=6&amp;number=3.2&amp;sourceID=14","3.2")</f>
        <v>3.2</v>
      </c>
      <c r="G1046" s="4" t="str">
        <f>HYPERLINK("http://141.218.60.56/~jnz1568/getInfo.php?workbook=14_06.xlsx&amp;sheet=U0&amp;row=1046&amp;col=7&amp;number=0.256&amp;sourceID=14","0.256")</f>
        <v>0.256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HYPERLINK("http://141.218.60.56/~jnz1568/getInfo.php?workbook=14_06.xlsx&amp;sheet=U0&amp;row=1047&amp;col=6&amp;number=3.3&amp;sourceID=14","3.3")</f>
        <v>3.3</v>
      </c>
      <c r="G1047" s="4" t="str">
        <f>HYPERLINK("http://141.218.60.56/~jnz1568/getInfo.php?workbook=14_06.xlsx&amp;sheet=U0&amp;row=1047&amp;col=7&amp;number=0.256&amp;sourceID=14","0.256")</f>
        <v>0.256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HYPERLINK("http://141.218.60.56/~jnz1568/getInfo.php?workbook=14_06.xlsx&amp;sheet=U0&amp;row=1048&amp;col=6&amp;number=3.4&amp;sourceID=14","3.4")</f>
        <v>3.4</v>
      </c>
      <c r="G1048" s="4" t="str">
        <f>HYPERLINK("http://141.218.60.56/~jnz1568/getInfo.php?workbook=14_06.xlsx&amp;sheet=U0&amp;row=1048&amp;col=7&amp;number=0.256&amp;sourceID=14","0.256")</f>
        <v>0.256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HYPERLINK("http://141.218.60.56/~jnz1568/getInfo.php?workbook=14_06.xlsx&amp;sheet=U0&amp;row=1049&amp;col=6&amp;number=3.5&amp;sourceID=14","3.5")</f>
        <v>3.5</v>
      </c>
      <c r="G1049" s="4" t="str">
        <f>HYPERLINK("http://141.218.60.56/~jnz1568/getInfo.php?workbook=14_06.xlsx&amp;sheet=U0&amp;row=1049&amp;col=7&amp;number=0.256&amp;sourceID=14","0.256")</f>
        <v>0.256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HYPERLINK("http://141.218.60.56/~jnz1568/getInfo.php?workbook=14_06.xlsx&amp;sheet=U0&amp;row=1050&amp;col=6&amp;number=3.6&amp;sourceID=14","3.6")</f>
        <v>3.6</v>
      </c>
      <c r="G1050" s="4" t="str">
        <f>HYPERLINK("http://141.218.60.56/~jnz1568/getInfo.php?workbook=14_06.xlsx&amp;sheet=U0&amp;row=1050&amp;col=7&amp;number=0.256&amp;sourceID=14","0.256")</f>
        <v>0.256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HYPERLINK("http://141.218.60.56/~jnz1568/getInfo.php?workbook=14_06.xlsx&amp;sheet=U0&amp;row=1051&amp;col=6&amp;number=3.7&amp;sourceID=14","3.7")</f>
        <v>3.7</v>
      </c>
      <c r="G1051" s="4" t="str">
        <f>HYPERLINK("http://141.218.60.56/~jnz1568/getInfo.php?workbook=14_06.xlsx&amp;sheet=U0&amp;row=1051&amp;col=7&amp;number=0.256&amp;sourceID=14","0.256")</f>
        <v>0.256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HYPERLINK("http://141.218.60.56/~jnz1568/getInfo.php?workbook=14_06.xlsx&amp;sheet=U0&amp;row=1052&amp;col=6&amp;number=3.8&amp;sourceID=14","3.8")</f>
        <v>3.8</v>
      </c>
      <c r="G1052" s="4" t="str">
        <f>HYPERLINK("http://141.218.60.56/~jnz1568/getInfo.php?workbook=14_06.xlsx&amp;sheet=U0&amp;row=1052&amp;col=7&amp;number=0.257&amp;sourceID=14","0.257")</f>
        <v>0.257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HYPERLINK("http://141.218.60.56/~jnz1568/getInfo.php?workbook=14_06.xlsx&amp;sheet=U0&amp;row=1053&amp;col=6&amp;number=3.9&amp;sourceID=14","3.9")</f>
        <v>3.9</v>
      </c>
      <c r="G1053" s="4" t="str">
        <f>HYPERLINK("http://141.218.60.56/~jnz1568/getInfo.php?workbook=14_06.xlsx&amp;sheet=U0&amp;row=1053&amp;col=7&amp;number=0.257&amp;sourceID=14","0.257")</f>
        <v>0.257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HYPERLINK("http://141.218.60.56/~jnz1568/getInfo.php?workbook=14_06.xlsx&amp;sheet=U0&amp;row=1054&amp;col=6&amp;number=4&amp;sourceID=14","4")</f>
        <v>4</v>
      </c>
      <c r="G1054" s="4" t="str">
        <f>HYPERLINK("http://141.218.60.56/~jnz1568/getInfo.php?workbook=14_06.xlsx&amp;sheet=U0&amp;row=1054&amp;col=7&amp;number=0.257&amp;sourceID=14","0.257")</f>
        <v>0.257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HYPERLINK("http://141.218.60.56/~jnz1568/getInfo.php?workbook=14_06.xlsx&amp;sheet=U0&amp;row=1055&amp;col=6&amp;number=4.1&amp;sourceID=14","4.1")</f>
        <v>4.1</v>
      </c>
      <c r="G1055" s="4" t="str">
        <f>HYPERLINK("http://141.218.60.56/~jnz1568/getInfo.php?workbook=14_06.xlsx&amp;sheet=U0&amp;row=1055&amp;col=7&amp;number=0.257&amp;sourceID=14","0.257")</f>
        <v>0.257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HYPERLINK("http://141.218.60.56/~jnz1568/getInfo.php?workbook=14_06.xlsx&amp;sheet=U0&amp;row=1056&amp;col=6&amp;number=4.2&amp;sourceID=14","4.2")</f>
        <v>4.2</v>
      </c>
      <c r="G1056" s="4" t="str">
        <f>HYPERLINK("http://141.218.60.56/~jnz1568/getInfo.php?workbook=14_06.xlsx&amp;sheet=U0&amp;row=1056&amp;col=7&amp;number=0.258&amp;sourceID=14","0.258")</f>
        <v>0.258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HYPERLINK("http://141.218.60.56/~jnz1568/getInfo.php?workbook=14_06.xlsx&amp;sheet=U0&amp;row=1057&amp;col=6&amp;number=4.3&amp;sourceID=14","4.3")</f>
        <v>4.3</v>
      </c>
      <c r="G1057" s="4" t="str">
        <f>HYPERLINK("http://141.218.60.56/~jnz1568/getInfo.php?workbook=14_06.xlsx&amp;sheet=U0&amp;row=1057&amp;col=7&amp;number=0.258&amp;sourceID=14","0.258")</f>
        <v>0.258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HYPERLINK("http://141.218.60.56/~jnz1568/getInfo.php?workbook=14_06.xlsx&amp;sheet=U0&amp;row=1058&amp;col=6&amp;number=4.4&amp;sourceID=14","4.4")</f>
        <v>4.4</v>
      </c>
      <c r="G1058" s="4" t="str">
        <f>HYPERLINK("http://141.218.60.56/~jnz1568/getInfo.php?workbook=14_06.xlsx&amp;sheet=U0&amp;row=1058&amp;col=7&amp;number=0.259&amp;sourceID=14","0.259")</f>
        <v>0.259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HYPERLINK("http://141.218.60.56/~jnz1568/getInfo.php?workbook=14_06.xlsx&amp;sheet=U0&amp;row=1059&amp;col=6&amp;number=4.5&amp;sourceID=14","4.5")</f>
        <v>4.5</v>
      </c>
      <c r="G1059" s="4" t="str">
        <f>HYPERLINK("http://141.218.60.56/~jnz1568/getInfo.php?workbook=14_06.xlsx&amp;sheet=U0&amp;row=1059&amp;col=7&amp;number=0.26&amp;sourceID=14","0.26")</f>
        <v>0.26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HYPERLINK("http://141.218.60.56/~jnz1568/getInfo.php?workbook=14_06.xlsx&amp;sheet=U0&amp;row=1060&amp;col=6&amp;number=4.6&amp;sourceID=14","4.6")</f>
        <v>4.6</v>
      </c>
      <c r="G1060" s="4" t="str">
        <f>HYPERLINK("http://141.218.60.56/~jnz1568/getInfo.php?workbook=14_06.xlsx&amp;sheet=U0&amp;row=1060&amp;col=7&amp;number=0.261&amp;sourceID=14","0.261")</f>
        <v>0.261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HYPERLINK("http://141.218.60.56/~jnz1568/getInfo.php?workbook=14_06.xlsx&amp;sheet=U0&amp;row=1061&amp;col=6&amp;number=4.7&amp;sourceID=14","4.7")</f>
        <v>4.7</v>
      </c>
      <c r="G1061" s="4" t="str">
        <f>HYPERLINK("http://141.218.60.56/~jnz1568/getInfo.php?workbook=14_06.xlsx&amp;sheet=U0&amp;row=1061&amp;col=7&amp;number=0.262&amp;sourceID=14","0.262")</f>
        <v>0.262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HYPERLINK("http://141.218.60.56/~jnz1568/getInfo.php?workbook=14_06.xlsx&amp;sheet=U0&amp;row=1062&amp;col=6&amp;number=4.8&amp;sourceID=14","4.8")</f>
        <v>4.8</v>
      </c>
      <c r="G1062" s="4" t="str">
        <f>HYPERLINK("http://141.218.60.56/~jnz1568/getInfo.php?workbook=14_06.xlsx&amp;sheet=U0&amp;row=1062&amp;col=7&amp;number=0.264&amp;sourceID=14","0.264")</f>
        <v>0.264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HYPERLINK("http://141.218.60.56/~jnz1568/getInfo.php?workbook=14_06.xlsx&amp;sheet=U0&amp;row=1063&amp;col=6&amp;number=4.9&amp;sourceID=14","4.9")</f>
        <v>4.9</v>
      </c>
      <c r="G1063" s="4" t="str">
        <f>HYPERLINK("http://141.218.60.56/~jnz1568/getInfo.php?workbook=14_06.xlsx&amp;sheet=U0&amp;row=1063&amp;col=7&amp;number=0.266&amp;sourceID=14","0.266")</f>
        <v>0.266</v>
      </c>
    </row>
    <row r="1064" spans="1:7">
      <c r="A1064" s="3">
        <v>14</v>
      </c>
      <c r="B1064" s="3">
        <v>6</v>
      </c>
      <c r="C1064" s="3">
        <v>2</v>
      </c>
      <c r="D1064" s="3">
        <v>11</v>
      </c>
      <c r="E1064" s="3">
        <v>1</v>
      </c>
      <c r="F1064" s="4" t="str">
        <f>HYPERLINK("http://141.218.60.56/~jnz1568/getInfo.php?workbook=14_06.xlsx&amp;sheet=U0&amp;row=1064&amp;col=6&amp;number=3&amp;sourceID=14","3")</f>
        <v>3</v>
      </c>
      <c r="G1064" s="4" t="str">
        <f>HYPERLINK("http://141.218.60.56/~jnz1568/getInfo.php?workbook=14_06.xlsx&amp;sheet=U0&amp;row=1064&amp;col=7&amp;number=0.235&amp;sourceID=14","0.235")</f>
        <v>0.235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HYPERLINK("http://141.218.60.56/~jnz1568/getInfo.php?workbook=14_06.xlsx&amp;sheet=U0&amp;row=1065&amp;col=6&amp;number=3.1&amp;sourceID=14","3.1")</f>
        <v>3.1</v>
      </c>
      <c r="G1065" s="4" t="str">
        <f>HYPERLINK("http://141.218.60.56/~jnz1568/getInfo.php?workbook=14_06.xlsx&amp;sheet=U0&amp;row=1065&amp;col=7&amp;number=0.235&amp;sourceID=14","0.235")</f>
        <v>0.235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HYPERLINK("http://141.218.60.56/~jnz1568/getInfo.php?workbook=14_06.xlsx&amp;sheet=U0&amp;row=1066&amp;col=6&amp;number=3.2&amp;sourceID=14","3.2")</f>
        <v>3.2</v>
      </c>
      <c r="G1066" s="4" t="str">
        <f>HYPERLINK("http://141.218.60.56/~jnz1568/getInfo.php?workbook=14_06.xlsx&amp;sheet=U0&amp;row=1066&amp;col=7&amp;number=0.235&amp;sourceID=14","0.235")</f>
        <v>0.235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HYPERLINK("http://141.218.60.56/~jnz1568/getInfo.php?workbook=14_06.xlsx&amp;sheet=U0&amp;row=1067&amp;col=6&amp;number=3.3&amp;sourceID=14","3.3")</f>
        <v>3.3</v>
      </c>
      <c r="G1067" s="4" t="str">
        <f>HYPERLINK("http://141.218.60.56/~jnz1568/getInfo.php?workbook=14_06.xlsx&amp;sheet=U0&amp;row=1067&amp;col=7&amp;number=0.235&amp;sourceID=14","0.235")</f>
        <v>0.235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HYPERLINK("http://141.218.60.56/~jnz1568/getInfo.php?workbook=14_06.xlsx&amp;sheet=U0&amp;row=1068&amp;col=6&amp;number=3.4&amp;sourceID=14","3.4")</f>
        <v>3.4</v>
      </c>
      <c r="G1068" s="4" t="str">
        <f>HYPERLINK("http://141.218.60.56/~jnz1568/getInfo.php?workbook=14_06.xlsx&amp;sheet=U0&amp;row=1068&amp;col=7&amp;number=0.235&amp;sourceID=14","0.235")</f>
        <v>0.235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HYPERLINK("http://141.218.60.56/~jnz1568/getInfo.php?workbook=14_06.xlsx&amp;sheet=U0&amp;row=1069&amp;col=6&amp;number=3.5&amp;sourceID=14","3.5")</f>
        <v>3.5</v>
      </c>
      <c r="G1069" s="4" t="str">
        <f>HYPERLINK("http://141.218.60.56/~jnz1568/getInfo.php?workbook=14_06.xlsx&amp;sheet=U0&amp;row=1069&amp;col=7&amp;number=0.235&amp;sourceID=14","0.235")</f>
        <v>0.235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HYPERLINK("http://141.218.60.56/~jnz1568/getInfo.php?workbook=14_06.xlsx&amp;sheet=U0&amp;row=1070&amp;col=6&amp;number=3.6&amp;sourceID=14","3.6")</f>
        <v>3.6</v>
      </c>
      <c r="G1070" s="4" t="str">
        <f>HYPERLINK("http://141.218.60.56/~jnz1568/getInfo.php?workbook=14_06.xlsx&amp;sheet=U0&amp;row=1070&amp;col=7&amp;number=0.235&amp;sourceID=14","0.235")</f>
        <v>0.235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HYPERLINK("http://141.218.60.56/~jnz1568/getInfo.php?workbook=14_06.xlsx&amp;sheet=U0&amp;row=1071&amp;col=6&amp;number=3.7&amp;sourceID=14","3.7")</f>
        <v>3.7</v>
      </c>
      <c r="G1071" s="4" t="str">
        <f>HYPERLINK("http://141.218.60.56/~jnz1568/getInfo.php?workbook=14_06.xlsx&amp;sheet=U0&amp;row=1071&amp;col=7&amp;number=0.235&amp;sourceID=14","0.235")</f>
        <v>0.235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HYPERLINK("http://141.218.60.56/~jnz1568/getInfo.php?workbook=14_06.xlsx&amp;sheet=U0&amp;row=1072&amp;col=6&amp;number=3.8&amp;sourceID=14","3.8")</f>
        <v>3.8</v>
      </c>
      <c r="G1072" s="4" t="str">
        <f>HYPERLINK("http://141.218.60.56/~jnz1568/getInfo.php?workbook=14_06.xlsx&amp;sheet=U0&amp;row=1072&amp;col=7&amp;number=0.235&amp;sourceID=14","0.235")</f>
        <v>0.235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HYPERLINK("http://141.218.60.56/~jnz1568/getInfo.php?workbook=14_06.xlsx&amp;sheet=U0&amp;row=1073&amp;col=6&amp;number=3.9&amp;sourceID=14","3.9")</f>
        <v>3.9</v>
      </c>
      <c r="G1073" s="4" t="str">
        <f>HYPERLINK("http://141.218.60.56/~jnz1568/getInfo.php?workbook=14_06.xlsx&amp;sheet=U0&amp;row=1073&amp;col=7&amp;number=0.235&amp;sourceID=14","0.235")</f>
        <v>0.235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HYPERLINK("http://141.218.60.56/~jnz1568/getInfo.php?workbook=14_06.xlsx&amp;sheet=U0&amp;row=1074&amp;col=6&amp;number=4&amp;sourceID=14","4")</f>
        <v>4</v>
      </c>
      <c r="G1074" s="4" t="str">
        <f>HYPERLINK("http://141.218.60.56/~jnz1568/getInfo.php?workbook=14_06.xlsx&amp;sheet=U0&amp;row=1074&amp;col=7&amp;number=0.236&amp;sourceID=14","0.236")</f>
        <v>0.236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HYPERLINK("http://141.218.60.56/~jnz1568/getInfo.php?workbook=14_06.xlsx&amp;sheet=U0&amp;row=1075&amp;col=6&amp;number=4.1&amp;sourceID=14","4.1")</f>
        <v>4.1</v>
      </c>
      <c r="G1075" s="4" t="str">
        <f>HYPERLINK("http://141.218.60.56/~jnz1568/getInfo.php?workbook=14_06.xlsx&amp;sheet=U0&amp;row=1075&amp;col=7&amp;number=0.236&amp;sourceID=14","0.236")</f>
        <v>0.236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HYPERLINK("http://141.218.60.56/~jnz1568/getInfo.php?workbook=14_06.xlsx&amp;sheet=U0&amp;row=1076&amp;col=6&amp;number=4.2&amp;sourceID=14","4.2")</f>
        <v>4.2</v>
      </c>
      <c r="G1076" s="4" t="str">
        <f>HYPERLINK("http://141.218.60.56/~jnz1568/getInfo.php?workbook=14_06.xlsx&amp;sheet=U0&amp;row=1076&amp;col=7&amp;number=0.236&amp;sourceID=14","0.236")</f>
        <v>0.236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HYPERLINK("http://141.218.60.56/~jnz1568/getInfo.php?workbook=14_06.xlsx&amp;sheet=U0&amp;row=1077&amp;col=6&amp;number=4.3&amp;sourceID=14","4.3")</f>
        <v>4.3</v>
      </c>
      <c r="G1077" s="4" t="str">
        <f>HYPERLINK("http://141.218.60.56/~jnz1568/getInfo.php?workbook=14_06.xlsx&amp;sheet=U0&amp;row=1077&amp;col=7&amp;number=0.237&amp;sourceID=14","0.237")</f>
        <v>0.237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HYPERLINK("http://141.218.60.56/~jnz1568/getInfo.php?workbook=14_06.xlsx&amp;sheet=U0&amp;row=1078&amp;col=6&amp;number=4.4&amp;sourceID=14","4.4")</f>
        <v>4.4</v>
      </c>
      <c r="G1078" s="4" t="str">
        <f>HYPERLINK("http://141.218.60.56/~jnz1568/getInfo.php?workbook=14_06.xlsx&amp;sheet=U0&amp;row=1078&amp;col=7&amp;number=0.237&amp;sourceID=14","0.237")</f>
        <v>0.237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HYPERLINK("http://141.218.60.56/~jnz1568/getInfo.php?workbook=14_06.xlsx&amp;sheet=U0&amp;row=1079&amp;col=6&amp;number=4.5&amp;sourceID=14","4.5")</f>
        <v>4.5</v>
      </c>
      <c r="G1079" s="4" t="str">
        <f>HYPERLINK("http://141.218.60.56/~jnz1568/getInfo.php?workbook=14_06.xlsx&amp;sheet=U0&amp;row=1079&amp;col=7&amp;number=0.238&amp;sourceID=14","0.238")</f>
        <v>0.238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HYPERLINK("http://141.218.60.56/~jnz1568/getInfo.php?workbook=14_06.xlsx&amp;sheet=U0&amp;row=1080&amp;col=6&amp;number=4.6&amp;sourceID=14","4.6")</f>
        <v>4.6</v>
      </c>
      <c r="G1080" s="4" t="str">
        <f>HYPERLINK("http://141.218.60.56/~jnz1568/getInfo.php?workbook=14_06.xlsx&amp;sheet=U0&amp;row=1080&amp;col=7&amp;number=0.239&amp;sourceID=14","0.239")</f>
        <v>0.239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HYPERLINK("http://141.218.60.56/~jnz1568/getInfo.php?workbook=14_06.xlsx&amp;sheet=U0&amp;row=1081&amp;col=6&amp;number=4.7&amp;sourceID=14","4.7")</f>
        <v>4.7</v>
      </c>
      <c r="G1081" s="4" t="str">
        <f>HYPERLINK("http://141.218.60.56/~jnz1568/getInfo.php?workbook=14_06.xlsx&amp;sheet=U0&amp;row=1081&amp;col=7&amp;number=0.24&amp;sourceID=14","0.24")</f>
        <v>0.24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HYPERLINK("http://141.218.60.56/~jnz1568/getInfo.php?workbook=14_06.xlsx&amp;sheet=U0&amp;row=1082&amp;col=6&amp;number=4.8&amp;sourceID=14","4.8")</f>
        <v>4.8</v>
      </c>
      <c r="G1082" s="4" t="str">
        <f>HYPERLINK("http://141.218.60.56/~jnz1568/getInfo.php?workbook=14_06.xlsx&amp;sheet=U0&amp;row=1082&amp;col=7&amp;number=0.241&amp;sourceID=14","0.241")</f>
        <v>0.241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HYPERLINK("http://141.218.60.56/~jnz1568/getInfo.php?workbook=14_06.xlsx&amp;sheet=U0&amp;row=1083&amp;col=6&amp;number=4.9&amp;sourceID=14","4.9")</f>
        <v>4.9</v>
      </c>
      <c r="G1083" s="4" t="str">
        <f>HYPERLINK("http://141.218.60.56/~jnz1568/getInfo.php?workbook=14_06.xlsx&amp;sheet=U0&amp;row=1083&amp;col=7&amp;number=0.243&amp;sourceID=14","0.243")</f>
        <v>0.243</v>
      </c>
    </row>
    <row r="1084" spans="1:7">
      <c r="A1084" s="3">
        <v>14</v>
      </c>
      <c r="B1084" s="3">
        <v>6</v>
      </c>
      <c r="C1084" s="3">
        <v>2</v>
      </c>
      <c r="D1084" s="3">
        <v>12</v>
      </c>
      <c r="E1084" s="3">
        <v>1</v>
      </c>
      <c r="F1084" s="4" t="str">
        <f>HYPERLINK("http://141.218.60.56/~jnz1568/getInfo.php?workbook=14_06.xlsx&amp;sheet=U0&amp;row=1084&amp;col=6&amp;number=3&amp;sourceID=14","3")</f>
        <v>3</v>
      </c>
      <c r="G1084" s="4" t="str">
        <f>HYPERLINK("http://141.218.60.56/~jnz1568/getInfo.php?workbook=14_06.xlsx&amp;sheet=U0&amp;row=1084&amp;col=7&amp;number=0.261&amp;sourceID=14","0.261")</f>
        <v>0.261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HYPERLINK("http://141.218.60.56/~jnz1568/getInfo.php?workbook=14_06.xlsx&amp;sheet=U0&amp;row=1085&amp;col=6&amp;number=3.1&amp;sourceID=14","3.1")</f>
        <v>3.1</v>
      </c>
      <c r="G1085" s="4" t="str">
        <f>HYPERLINK("http://141.218.60.56/~jnz1568/getInfo.php?workbook=14_06.xlsx&amp;sheet=U0&amp;row=1085&amp;col=7&amp;number=0.261&amp;sourceID=14","0.261")</f>
        <v>0.261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HYPERLINK("http://141.218.60.56/~jnz1568/getInfo.php?workbook=14_06.xlsx&amp;sheet=U0&amp;row=1086&amp;col=6&amp;number=3.2&amp;sourceID=14","3.2")</f>
        <v>3.2</v>
      </c>
      <c r="G1086" s="4" t="str">
        <f>HYPERLINK("http://141.218.60.56/~jnz1568/getInfo.php?workbook=14_06.xlsx&amp;sheet=U0&amp;row=1086&amp;col=7&amp;number=0.261&amp;sourceID=14","0.261")</f>
        <v>0.261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HYPERLINK("http://141.218.60.56/~jnz1568/getInfo.php?workbook=14_06.xlsx&amp;sheet=U0&amp;row=1087&amp;col=6&amp;number=3.3&amp;sourceID=14","3.3")</f>
        <v>3.3</v>
      </c>
      <c r="G1087" s="4" t="str">
        <f>HYPERLINK("http://141.218.60.56/~jnz1568/getInfo.php?workbook=14_06.xlsx&amp;sheet=U0&amp;row=1087&amp;col=7&amp;number=0.261&amp;sourceID=14","0.261")</f>
        <v>0.261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HYPERLINK("http://141.218.60.56/~jnz1568/getInfo.php?workbook=14_06.xlsx&amp;sheet=U0&amp;row=1088&amp;col=6&amp;number=3.4&amp;sourceID=14","3.4")</f>
        <v>3.4</v>
      </c>
      <c r="G1088" s="4" t="str">
        <f>HYPERLINK("http://141.218.60.56/~jnz1568/getInfo.php?workbook=14_06.xlsx&amp;sheet=U0&amp;row=1088&amp;col=7&amp;number=0.262&amp;sourceID=14","0.262")</f>
        <v>0.262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HYPERLINK("http://141.218.60.56/~jnz1568/getInfo.php?workbook=14_06.xlsx&amp;sheet=U0&amp;row=1089&amp;col=6&amp;number=3.5&amp;sourceID=14","3.5")</f>
        <v>3.5</v>
      </c>
      <c r="G1089" s="4" t="str">
        <f>HYPERLINK("http://141.218.60.56/~jnz1568/getInfo.php?workbook=14_06.xlsx&amp;sheet=U0&amp;row=1089&amp;col=7&amp;number=0.262&amp;sourceID=14","0.262")</f>
        <v>0.262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HYPERLINK("http://141.218.60.56/~jnz1568/getInfo.php?workbook=14_06.xlsx&amp;sheet=U0&amp;row=1090&amp;col=6&amp;number=3.6&amp;sourceID=14","3.6")</f>
        <v>3.6</v>
      </c>
      <c r="G1090" s="4" t="str">
        <f>HYPERLINK("http://141.218.60.56/~jnz1568/getInfo.php?workbook=14_06.xlsx&amp;sheet=U0&amp;row=1090&amp;col=7&amp;number=0.262&amp;sourceID=14","0.262")</f>
        <v>0.262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HYPERLINK("http://141.218.60.56/~jnz1568/getInfo.php?workbook=14_06.xlsx&amp;sheet=U0&amp;row=1091&amp;col=6&amp;number=3.7&amp;sourceID=14","3.7")</f>
        <v>3.7</v>
      </c>
      <c r="G1091" s="4" t="str">
        <f>HYPERLINK("http://141.218.60.56/~jnz1568/getInfo.php?workbook=14_06.xlsx&amp;sheet=U0&amp;row=1091&amp;col=7&amp;number=0.262&amp;sourceID=14","0.262")</f>
        <v>0.262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HYPERLINK("http://141.218.60.56/~jnz1568/getInfo.php?workbook=14_06.xlsx&amp;sheet=U0&amp;row=1092&amp;col=6&amp;number=3.8&amp;sourceID=14","3.8")</f>
        <v>3.8</v>
      </c>
      <c r="G1092" s="4" t="str">
        <f>HYPERLINK("http://141.218.60.56/~jnz1568/getInfo.php?workbook=14_06.xlsx&amp;sheet=U0&amp;row=1092&amp;col=7&amp;number=0.262&amp;sourceID=14","0.262")</f>
        <v>0.262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HYPERLINK("http://141.218.60.56/~jnz1568/getInfo.php?workbook=14_06.xlsx&amp;sheet=U0&amp;row=1093&amp;col=6&amp;number=3.9&amp;sourceID=14","3.9")</f>
        <v>3.9</v>
      </c>
      <c r="G1093" s="4" t="str">
        <f>HYPERLINK("http://141.218.60.56/~jnz1568/getInfo.php?workbook=14_06.xlsx&amp;sheet=U0&amp;row=1093&amp;col=7&amp;number=0.262&amp;sourceID=14","0.262")</f>
        <v>0.262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HYPERLINK("http://141.218.60.56/~jnz1568/getInfo.php?workbook=14_06.xlsx&amp;sheet=U0&amp;row=1094&amp;col=6&amp;number=4&amp;sourceID=14","4")</f>
        <v>4</v>
      </c>
      <c r="G1094" s="4" t="str">
        <f>HYPERLINK("http://141.218.60.56/~jnz1568/getInfo.php?workbook=14_06.xlsx&amp;sheet=U0&amp;row=1094&amp;col=7&amp;number=0.262&amp;sourceID=14","0.262")</f>
        <v>0.262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HYPERLINK("http://141.218.60.56/~jnz1568/getInfo.php?workbook=14_06.xlsx&amp;sheet=U0&amp;row=1095&amp;col=6&amp;number=4.1&amp;sourceID=14","4.1")</f>
        <v>4.1</v>
      </c>
      <c r="G1095" s="4" t="str">
        <f>HYPERLINK("http://141.218.60.56/~jnz1568/getInfo.php?workbook=14_06.xlsx&amp;sheet=U0&amp;row=1095&amp;col=7&amp;number=0.263&amp;sourceID=14","0.263")</f>
        <v>0.263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HYPERLINK("http://141.218.60.56/~jnz1568/getInfo.php?workbook=14_06.xlsx&amp;sheet=U0&amp;row=1096&amp;col=6&amp;number=4.2&amp;sourceID=14","4.2")</f>
        <v>4.2</v>
      </c>
      <c r="G1096" s="4" t="str">
        <f>HYPERLINK("http://141.218.60.56/~jnz1568/getInfo.php?workbook=14_06.xlsx&amp;sheet=U0&amp;row=1096&amp;col=7&amp;number=0.263&amp;sourceID=14","0.263")</f>
        <v>0.263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HYPERLINK("http://141.218.60.56/~jnz1568/getInfo.php?workbook=14_06.xlsx&amp;sheet=U0&amp;row=1097&amp;col=6&amp;number=4.3&amp;sourceID=14","4.3")</f>
        <v>4.3</v>
      </c>
      <c r="G1097" s="4" t="str">
        <f>HYPERLINK("http://141.218.60.56/~jnz1568/getInfo.php?workbook=14_06.xlsx&amp;sheet=U0&amp;row=1097&amp;col=7&amp;number=0.264&amp;sourceID=14","0.264")</f>
        <v>0.264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HYPERLINK("http://141.218.60.56/~jnz1568/getInfo.php?workbook=14_06.xlsx&amp;sheet=U0&amp;row=1098&amp;col=6&amp;number=4.4&amp;sourceID=14","4.4")</f>
        <v>4.4</v>
      </c>
      <c r="G1098" s="4" t="str">
        <f>HYPERLINK("http://141.218.60.56/~jnz1568/getInfo.php?workbook=14_06.xlsx&amp;sheet=U0&amp;row=1098&amp;col=7&amp;number=0.264&amp;sourceID=14","0.264")</f>
        <v>0.264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HYPERLINK("http://141.218.60.56/~jnz1568/getInfo.php?workbook=14_06.xlsx&amp;sheet=U0&amp;row=1099&amp;col=6&amp;number=4.5&amp;sourceID=14","4.5")</f>
        <v>4.5</v>
      </c>
      <c r="G1099" s="4" t="str">
        <f>HYPERLINK("http://141.218.60.56/~jnz1568/getInfo.php?workbook=14_06.xlsx&amp;sheet=U0&amp;row=1099&amp;col=7&amp;number=0.265&amp;sourceID=14","0.265")</f>
        <v>0.265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HYPERLINK("http://141.218.60.56/~jnz1568/getInfo.php?workbook=14_06.xlsx&amp;sheet=U0&amp;row=1100&amp;col=6&amp;number=4.6&amp;sourceID=14","4.6")</f>
        <v>4.6</v>
      </c>
      <c r="G1100" s="4" t="str">
        <f>HYPERLINK("http://141.218.60.56/~jnz1568/getInfo.php?workbook=14_06.xlsx&amp;sheet=U0&amp;row=1100&amp;col=7&amp;number=0.266&amp;sourceID=14","0.266")</f>
        <v>0.266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HYPERLINK("http://141.218.60.56/~jnz1568/getInfo.php?workbook=14_06.xlsx&amp;sheet=U0&amp;row=1101&amp;col=6&amp;number=4.7&amp;sourceID=14","4.7")</f>
        <v>4.7</v>
      </c>
      <c r="G1101" s="4" t="str">
        <f>HYPERLINK("http://141.218.60.56/~jnz1568/getInfo.php?workbook=14_06.xlsx&amp;sheet=U0&amp;row=1101&amp;col=7&amp;number=0.268&amp;sourceID=14","0.268")</f>
        <v>0.268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HYPERLINK("http://141.218.60.56/~jnz1568/getInfo.php?workbook=14_06.xlsx&amp;sheet=U0&amp;row=1102&amp;col=6&amp;number=4.8&amp;sourceID=14","4.8")</f>
        <v>4.8</v>
      </c>
      <c r="G1102" s="4" t="str">
        <f>HYPERLINK("http://141.218.60.56/~jnz1568/getInfo.php?workbook=14_06.xlsx&amp;sheet=U0&amp;row=1102&amp;col=7&amp;number=0.269&amp;sourceID=14","0.269")</f>
        <v>0.269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HYPERLINK("http://141.218.60.56/~jnz1568/getInfo.php?workbook=14_06.xlsx&amp;sheet=U0&amp;row=1103&amp;col=6&amp;number=4.9&amp;sourceID=14","4.9")</f>
        <v>4.9</v>
      </c>
      <c r="G1103" s="4" t="str">
        <f>HYPERLINK("http://141.218.60.56/~jnz1568/getInfo.php?workbook=14_06.xlsx&amp;sheet=U0&amp;row=1103&amp;col=7&amp;number=0.271&amp;sourceID=14","0.271")</f>
        <v>0.271</v>
      </c>
    </row>
    <row r="1104" spans="1:7">
      <c r="A1104" s="3">
        <v>14</v>
      </c>
      <c r="B1104" s="3">
        <v>6</v>
      </c>
      <c r="C1104" s="3">
        <v>2</v>
      </c>
      <c r="D1104" s="3">
        <v>13</v>
      </c>
      <c r="E1104" s="3">
        <v>1</v>
      </c>
      <c r="F1104" s="4" t="str">
        <f>HYPERLINK("http://141.218.60.56/~jnz1568/getInfo.php?workbook=14_06.xlsx&amp;sheet=U0&amp;row=1104&amp;col=6&amp;number=3&amp;sourceID=14","3")</f>
        <v>3</v>
      </c>
      <c r="G1104" s="4" t="str">
        <f>HYPERLINK("http://141.218.60.56/~jnz1568/getInfo.php?workbook=14_06.xlsx&amp;sheet=U0&amp;row=1104&amp;col=7&amp;number=0.0211&amp;sourceID=14","0.0211")</f>
        <v>0.0211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HYPERLINK("http://141.218.60.56/~jnz1568/getInfo.php?workbook=14_06.xlsx&amp;sheet=U0&amp;row=1105&amp;col=6&amp;number=3.1&amp;sourceID=14","3.1")</f>
        <v>3.1</v>
      </c>
      <c r="G1105" s="4" t="str">
        <f>HYPERLINK("http://141.218.60.56/~jnz1568/getInfo.php?workbook=14_06.xlsx&amp;sheet=U0&amp;row=1105&amp;col=7&amp;number=0.0211&amp;sourceID=14","0.0211")</f>
        <v>0.0211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HYPERLINK("http://141.218.60.56/~jnz1568/getInfo.php?workbook=14_06.xlsx&amp;sheet=U0&amp;row=1106&amp;col=6&amp;number=3.2&amp;sourceID=14","3.2")</f>
        <v>3.2</v>
      </c>
      <c r="G1106" s="4" t="str">
        <f>HYPERLINK("http://141.218.60.56/~jnz1568/getInfo.php?workbook=14_06.xlsx&amp;sheet=U0&amp;row=1106&amp;col=7&amp;number=0.0211&amp;sourceID=14","0.0211")</f>
        <v>0.0211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HYPERLINK("http://141.218.60.56/~jnz1568/getInfo.php?workbook=14_06.xlsx&amp;sheet=U0&amp;row=1107&amp;col=6&amp;number=3.3&amp;sourceID=14","3.3")</f>
        <v>3.3</v>
      </c>
      <c r="G1107" s="4" t="str">
        <f>HYPERLINK("http://141.218.60.56/~jnz1568/getInfo.php?workbook=14_06.xlsx&amp;sheet=U0&amp;row=1107&amp;col=7&amp;number=0.0211&amp;sourceID=14","0.0211")</f>
        <v>0.0211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HYPERLINK("http://141.218.60.56/~jnz1568/getInfo.php?workbook=14_06.xlsx&amp;sheet=U0&amp;row=1108&amp;col=6&amp;number=3.4&amp;sourceID=14","3.4")</f>
        <v>3.4</v>
      </c>
      <c r="G1108" s="4" t="str">
        <f>HYPERLINK("http://141.218.60.56/~jnz1568/getInfo.php?workbook=14_06.xlsx&amp;sheet=U0&amp;row=1108&amp;col=7&amp;number=0.0211&amp;sourceID=14","0.0211")</f>
        <v>0.0211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HYPERLINK("http://141.218.60.56/~jnz1568/getInfo.php?workbook=14_06.xlsx&amp;sheet=U0&amp;row=1109&amp;col=6&amp;number=3.5&amp;sourceID=14","3.5")</f>
        <v>3.5</v>
      </c>
      <c r="G1109" s="4" t="str">
        <f>HYPERLINK("http://141.218.60.56/~jnz1568/getInfo.php?workbook=14_06.xlsx&amp;sheet=U0&amp;row=1109&amp;col=7&amp;number=0.0211&amp;sourceID=14","0.0211")</f>
        <v>0.0211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HYPERLINK("http://141.218.60.56/~jnz1568/getInfo.php?workbook=14_06.xlsx&amp;sheet=U0&amp;row=1110&amp;col=6&amp;number=3.6&amp;sourceID=14","3.6")</f>
        <v>3.6</v>
      </c>
      <c r="G1110" s="4" t="str">
        <f>HYPERLINK("http://141.218.60.56/~jnz1568/getInfo.php?workbook=14_06.xlsx&amp;sheet=U0&amp;row=1110&amp;col=7&amp;number=0.0211&amp;sourceID=14","0.0211")</f>
        <v>0.0211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HYPERLINK("http://141.218.60.56/~jnz1568/getInfo.php?workbook=14_06.xlsx&amp;sheet=U0&amp;row=1111&amp;col=6&amp;number=3.7&amp;sourceID=14","3.7")</f>
        <v>3.7</v>
      </c>
      <c r="G1111" s="4" t="str">
        <f>HYPERLINK("http://141.218.60.56/~jnz1568/getInfo.php?workbook=14_06.xlsx&amp;sheet=U0&amp;row=1111&amp;col=7&amp;number=0.0211&amp;sourceID=14","0.0211")</f>
        <v>0.0211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HYPERLINK("http://141.218.60.56/~jnz1568/getInfo.php?workbook=14_06.xlsx&amp;sheet=U0&amp;row=1112&amp;col=6&amp;number=3.8&amp;sourceID=14","3.8")</f>
        <v>3.8</v>
      </c>
      <c r="G1112" s="4" t="str">
        <f>HYPERLINK("http://141.218.60.56/~jnz1568/getInfo.php?workbook=14_06.xlsx&amp;sheet=U0&amp;row=1112&amp;col=7&amp;number=0.0211&amp;sourceID=14","0.0211")</f>
        <v>0.0211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HYPERLINK("http://141.218.60.56/~jnz1568/getInfo.php?workbook=14_06.xlsx&amp;sheet=U0&amp;row=1113&amp;col=6&amp;number=3.9&amp;sourceID=14","3.9")</f>
        <v>3.9</v>
      </c>
      <c r="G1113" s="4" t="str">
        <f>HYPERLINK("http://141.218.60.56/~jnz1568/getInfo.php?workbook=14_06.xlsx&amp;sheet=U0&amp;row=1113&amp;col=7&amp;number=0.0211&amp;sourceID=14","0.0211")</f>
        <v>0.0211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HYPERLINK("http://141.218.60.56/~jnz1568/getInfo.php?workbook=14_06.xlsx&amp;sheet=U0&amp;row=1114&amp;col=6&amp;number=4&amp;sourceID=14","4")</f>
        <v>4</v>
      </c>
      <c r="G1114" s="4" t="str">
        <f>HYPERLINK("http://141.218.60.56/~jnz1568/getInfo.php?workbook=14_06.xlsx&amp;sheet=U0&amp;row=1114&amp;col=7&amp;number=0.021&amp;sourceID=14","0.021")</f>
        <v>0.021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HYPERLINK("http://141.218.60.56/~jnz1568/getInfo.php?workbook=14_06.xlsx&amp;sheet=U0&amp;row=1115&amp;col=6&amp;number=4.1&amp;sourceID=14","4.1")</f>
        <v>4.1</v>
      </c>
      <c r="G1115" s="4" t="str">
        <f>HYPERLINK("http://141.218.60.56/~jnz1568/getInfo.php?workbook=14_06.xlsx&amp;sheet=U0&amp;row=1115&amp;col=7&amp;number=0.021&amp;sourceID=14","0.021")</f>
        <v>0.021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HYPERLINK("http://141.218.60.56/~jnz1568/getInfo.php?workbook=14_06.xlsx&amp;sheet=U0&amp;row=1116&amp;col=6&amp;number=4.2&amp;sourceID=14","4.2")</f>
        <v>4.2</v>
      </c>
      <c r="G1116" s="4" t="str">
        <f>HYPERLINK("http://141.218.60.56/~jnz1568/getInfo.php?workbook=14_06.xlsx&amp;sheet=U0&amp;row=1116&amp;col=7&amp;number=0.021&amp;sourceID=14","0.021")</f>
        <v>0.021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HYPERLINK("http://141.218.60.56/~jnz1568/getInfo.php?workbook=14_06.xlsx&amp;sheet=U0&amp;row=1117&amp;col=6&amp;number=4.3&amp;sourceID=14","4.3")</f>
        <v>4.3</v>
      </c>
      <c r="G1117" s="4" t="str">
        <f>HYPERLINK("http://141.218.60.56/~jnz1568/getInfo.php?workbook=14_06.xlsx&amp;sheet=U0&amp;row=1117&amp;col=7&amp;number=0.021&amp;sourceID=14","0.021")</f>
        <v>0.021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HYPERLINK("http://141.218.60.56/~jnz1568/getInfo.php?workbook=14_06.xlsx&amp;sheet=U0&amp;row=1118&amp;col=6&amp;number=4.4&amp;sourceID=14","4.4")</f>
        <v>4.4</v>
      </c>
      <c r="G1118" s="4" t="str">
        <f>HYPERLINK("http://141.218.60.56/~jnz1568/getInfo.php?workbook=14_06.xlsx&amp;sheet=U0&amp;row=1118&amp;col=7&amp;number=0.021&amp;sourceID=14","0.021")</f>
        <v>0.021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HYPERLINK("http://141.218.60.56/~jnz1568/getInfo.php?workbook=14_06.xlsx&amp;sheet=U0&amp;row=1119&amp;col=6&amp;number=4.5&amp;sourceID=14","4.5")</f>
        <v>4.5</v>
      </c>
      <c r="G1119" s="4" t="str">
        <f>HYPERLINK("http://141.218.60.56/~jnz1568/getInfo.php?workbook=14_06.xlsx&amp;sheet=U0&amp;row=1119&amp;col=7&amp;number=0.0209&amp;sourceID=14","0.0209")</f>
        <v>0.0209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HYPERLINK("http://141.218.60.56/~jnz1568/getInfo.php?workbook=14_06.xlsx&amp;sheet=U0&amp;row=1120&amp;col=6&amp;number=4.6&amp;sourceID=14","4.6")</f>
        <v>4.6</v>
      </c>
      <c r="G1120" s="4" t="str">
        <f>HYPERLINK("http://141.218.60.56/~jnz1568/getInfo.php?workbook=14_06.xlsx&amp;sheet=U0&amp;row=1120&amp;col=7&amp;number=0.0209&amp;sourceID=14","0.0209")</f>
        <v>0.0209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HYPERLINK("http://141.218.60.56/~jnz1568/getInfo.php?workbook=14_06.xlsx&amp;sheet=U0&amp;row=1121&amp;col=6&amp;number=4.7&amp;sourceID=14","4.7")</f>
        <v>4.7</v>
      </c>
      <c r="G1121" s="4" t="str">
        <f>HYPERLINK("http://141.218.60.56/~jnz1568/getInfo.php?workbook=14_06.xlsx&amp;sheet=U0&amp;row=1121&amp;col=7&amp;number=0.0209&amp;sourceID=14","0.0209")</f>
        <v>0.0209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HYPERLINK("http://141.218.60.56/~jnz1568/getInfo.php?workbook=14_06.xlsx&amp;sheet=U0&amp;row=1122&amp;col=6&amp;number=4.8&amp;sourceID=14","4.8")</f>
        <v>4.8</v>
      </c>
      <c r="G1122" s="4" t="str">
        <f>HYPERLINK("http://141.218.60.56/~jnz1568/getInfo.php?workbook=14_06.xlsx&amp;sheet=U0&amp;row=1122&amp;col=7&amp;number=0.0208&amp;sourceID=14","0.0208")</f>
        <v>0.0208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HYPERLINK("http://141.218.60.56/~jnz1568/getInfo.php?workbook=14_06.xlsx&amp;sheet=U0&amp;row=1123&amp;col=6&amp;number=4.9&amp;sourceID=14","4.9")</f>
        <v>4.9</v>
      </c>
      <c r="G1123" s="4" t="str">
        <f>HYPERLINK("http://141.218.60.56/~jnz1568/getInfo.php?workbook=14_06.xlsx&amp;sheet=U0&amp;row=1123&amp;col=7&amp;number=0.0207&amp;sourceID=14","0.0207")</f>
        <v>0.0207</v>
      </c>
    </row>
    <row r="1124" spans="1:7">
      <c r="A1124" s="3">
        <v>14</v>
      </c>
      <c r="B1124" s="3">
        <v>6</v>
      </c>
      <c r="C1124" s="3">
        <v>2</v>
      </c>
      <c r="D1124" s="3">
        <v>14</v>
      </c>
      <c r="E1124" s="3">
        <v>1</v>
      </c>
      <c r="F1124" s="4" t="str">
        <f>HYPERLINK("http://141.218.60.56/~jnz1568/getInfo.php?workbook=14_06.xlsx&amp;sheet=U0&amp;row=1124&amp;col=6&amp;number=3&amp;sourceID=14","3")</f>
        <v>3</v>
      </c>
      <c r="G1124" s="4" t="str">
        <f>HYPERLINK("http://141.218.60.56/~jnz1568/getInfo.php?workbook=14_06.xlsx&amp;sheet=U0&amp;row=1124&amp;col=7&amp;number=0.592&amp;sourceID=14","0.592")</f>
        <v>0.592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HYPERLINK("http://141.218.60.56/~jnz1568/getInfo.php?workbook=14_06.xlsx&amp;sheet=U0&amp;row=1125&amp;col=6&amp;number=3.1&amp;sourceID=14","3.1")</f>
        <v>3.1</v>
      </c>
      <c r="G1125" s="4" t="str">
        <f>HYPERLINK("http://141.218.60.56/~jnz1568/getInfo.php?workbook=14_06.xlsx&amp;sheet=U0&amp;row=1125&amp;col=7&amp;number=0.592&amp;sourceID=14","0.592")</f>
        <v>0.592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HYPERLINK("http://141.218.60.56/~jnz1568/getInfo.php?workbook=14_06.xlsx&amp;sheet=U0&amp;row=1126&amp;col=6&amp;number=3.2&amp;sourceID=14","3.2")</f>
        <v>3.2</v>
      </c>
      <c r="G1126" s="4" t="str">
        <f>HYPERLINK("http://141.218.60.56/~jnz1568/getInfo.php?workbook=14_06.xlsx&amp;sheet=U0&amp;row=1126&amp;col=7&amp;number=0.592&amp;sourceID=14","0.592")</f>
        <v>0.592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HYPERLINK("http://141.218.60.56/~jnz1568/getInfo.php?workbook=14_06.xlsx&amp;sheet=U0&amp;row=1127&amp;col=6&amp;number=3.3&amp;sourceID=14","3.3")</f>
        <v>3.3</v>
      </c>
      <c r="G1127" s="4" t="str">
        <f>HYPERLINK("http://141.218.60.56/~jnz1568/getInfo.php?workbook=14_06.xlsx&amp;sheet=U0&amp;row=1127&amp;col=7&amp;number=0.592&amp;sourceID=14","0.592")</f>
        <v>0.592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HYPERLINK("http://141.218.60.56/~jnz1568/getInfo.php?workbook=14_06.xlsx&amp;sheet=U0&amp;row=1128&amp;col=6&amp;number=3.4&amp;sourceID=14","3.4")</f>
        <v>3.4</v>
      </c>
      <c r="G1128" s="4" t="str">
        <f>HYPERLINK("http://141.218.60.56/~jnz1568/getInfo.php?workbook=14_06.xlsx&amp;sheet=U0&amp;row=1128&amp;col=7&amp;number=0.592&amp;sourceID=14","0.592")</f>
        <v>0.592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HYPERLINK("http://141.218.60.56/~jnz1568/getInfo.php?workbook=14_06.xlsx&amp;sheet=U0&amp;row=1129&amp;col=6&amp;number=3.5&amp;sourceID=14","3.5")</f>
        <v>3.5</v>
      </c>
      <c r="G1129" s="4" t="str">
        <f>HYPERLINK("http://141.218.60.56/~jnz1568/getInfo.php?workbook=14_06.xlsx&amp;sheet=U0&amp;row=1129&amp;col=7&amp;number=0.593&amp;sourceID=14","0.593")</f>
        <v>0.593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HYPERLINK("http://141.218.60.56/~jnz1568/getInfo.php?workbook=14_06.xlsx&amp;sheet=U0&amp;row=1130&amp;col=6&amp;number=3.6&amp;sourceID=14","3.6")</f>
        <v>3.6</v>
      </c>
      <c r="G1130" s="4" t="str">
        <f>HYPERLINK("http://141.218.60.56/~jnz1568/getInfo.php?workbook=14_06.xlsx&amp;sheet=U0&amp;row=1130&amp;col=7&amp;number=0.593&amp;sourceID=14","0.593")</f>
        <v>0.593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HYPERLINK("http://141.218.60.56/~jnz1568/getInfo.php?workbook=14_06.xlsx&amp;sheet=U0&amp;row=1131&amp;col=6&amp;number=3.7&amp;sourceID=14","3.7")</f>
        <v>3.7</v>
      </c>
      <c r="G1131" s="4" t="str">
        <f>HYPERLINK("http://141.218.60.56/~jnz1568/getInfo.php?workbook=14_06.xlsx&amp;sheet=U0&amp;row=1131&amp;col=7&amp;number=0.593&amp;sourceID=14","0.593")</f>
        <v>0.593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HYPERLINK("http://141.218.60.56/~jnz1568/getInfo.php?workbook=14_06.xlsx&amp;sheet=U0&amp;row=1132&amp;col=6&amp;number=3.8&amp;sourceID=14","3.8")</f>
        <v>3.8</v>
      </c>
      <c r="G1132" s="4" t="str">
        <f>HYPERLINK("http://141.218.60.56/~jnz1568/getInfo.php?workbook=14_06.xlsx&amp;sheet=U0&amp;row=1132&amp;col=7&amp;number=0.593&amp;sourceID=14","0.593")</f>
        <v>0.593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HYPERLINK("http://141.218.60.56/~jnz1568/getInfo.php?workbook=14_06.xlsx&amp;sheet=U0&amp;row=1133&amp;col=6&amp;number=3.9&amp;sourceID=14","3.9")</f>
        <v>3.9</v>
      </c>
      <c r="G1133" s="4" t="str">
        <f>HYPERLINK("http://141.218.60.56/~jnz1568/getInfo.php?workbook=14_06.xlsx&amp;sheet=U0&amp;row=1133&amp;col=7&amp;number=0.594&amp;sourceID=14","0.594")</f>
        <v>0.594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HYPERLINK("http://141.218.60.56/~jnz1568/getInfo.php?workbook=14_06.xlsx&amp;sheet=U0&amp;row=1134&amp;col=6&amp;number=4&amp;sourceID=14","4")</f>
        <v>4</v>
      </c>
      <c r="G1134" s="4" t="str">
        <f>HYPERLINK("http://141.218.60.56/~jnz1568/getInfo.php?workbook=14_06.xlsx&amp;sheet=U0&amp;row=1134&amp;col=7&amp;number=0.594&amp;sourceID=14","0.594")</f>
        <v>0.594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HYPERLINK("http://141.218.60.56/~jnz1568/getInfo.php?workbook=14_06.xlsx&amp;sheet=U0&amp;row=1135&amp;col=6&amp;number=4.1&amp;sourceID=14","4.1")</f>
        <v>4.1</v>
      </c>
      <c r="G1135" s="4" t="str">
        <f>HYPERLINK("http://141.218.60.56/~jnz1568/getInfo.php?workbook=14_06.xlsx&amp;sheet=U0&amp;row=1135&amp;col=7&amp;number=0.595&amp;sourceID=14","0.595")</f>
        <v>0.595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HYPERLINK("http://141.218.60.56/~jnz1568/getInfo.php?workbook=14_06.xlsx&amp;sheet=U0&amp;row=1136&amp;col=6&amp;number=4.2&amp;sourceID=14","4.2")</f>
        <v>4.2</v>
      </c>
      <c r="G1136" s="4" t="str">
        <f>HYPERLINK("http://141.218.60.56/~jnz1568/getInfo.php?workbook=14_06.xlsx&amp;sheet=U0&amp;row=1136&amp;col=7&amp;number=0.595&amp;sourceID=14","0.595")</f>
        <v>0.595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HYPERLINK("http://141.218.60.56/~jnz1568/getInfo.php?workbook=14_06.xlsx&amp;sheet=U0&amp;row=1137&amp;col=6&amp;number=4.3&amp;sourceID=14","4.3")</f>
        <v>4.3</v>
      </c>
      <c r="G1137" s="4" t="str">
        <f>HYPERLINK("http://141.218.60.56/~jnz1568/getInfo.php?workbook=14_06.xlsx&amp;sheet=U0&amp;row=1137&amp;col=7&amp;number=0.596&amp;sourceID=14","0.596")</f>
        <v>0.596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HYPERLINK("http://141.218.60.56/~jnz1568/getInfo.php?workbook=14_06.xlsx&amp;sheet=U0&amp;row=1138&amp;col=6&amp;number=4.4&amp;sourceID=14","4.4")</f>
        <v>4.4</v>
      </c>
      <c r="G1138" s="4" t="str">
        <f>HYPERLINK("http://141.218.60.56/~jnz1568/getInfo.php?workbook=14_06.xlsx&amp;sheet=U0&amp;row=1138&amp;col=7&amp;number=0.597&amp;sourceID=14","0.597")</f>
        <v>0.597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HYPERLINK("http://141.218.60.56/~jnz1568/getInfo.php?workbook=14_06.xlsx&amp;sheet=U0&amp;row=1139&amp;col=6&amp;number=4.5&amp;sourceID=14","4.5")</f>
        <v>4.5</v>
      </c>
      <c r="G1139" s="4" t="str">
        <f>HYPERLINK("http://141.218.60.56/~jnz1568/getInfo.php?workbook=14_06.xlsx&amp;sheet=U0&amp;row=1139&amp;col=7&amp;number=0.599&amp;sourceID=14","0.599")</f>
        <v>0.599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HYPERLINK("http://141.218.60.56/~jnz1568/getInfo.php?workbook=14_06.xlsx&amp;sheet=U0&amp;row=1140&amp;col=6&amp;number=4.6&amp;sourceID=14","4.6")</f>
        <v>4.6</v>
      </c>
      <c r="G1140" s="4" t="str">
        <f>HYPERLINK("http://141.218.60.56/~jnz1568/getInfo.php?workbook=14_06.xlsx&amp;sheet=U0&amp;row=1140&amp;col=7&amp;number=0.6&amp;sourceID=14","0.6")</f>
        <v>0.6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HYPERLINK("http://141.218.60.56/~jnz1568/getInfo.php?workbook=14_06.xlsx&amp;sheet=U0&amp;row=1141&amp;col=6&amp;number=4.7&amp;sourceID=14","4.7")</f>
        <v>4.7</v>
      </c>
      <c r="G1141" s="4" t="str">
        <f>HYPERLINK("http://141.218.60.56/~jnz1568/getInfo.php?workbook=14_06.xlsx&amp;sheet=U0&amp;row=1141&amp;col=7&amp;number=0.602&amp;sourceID=14","0.602")</f>
        <v>0.602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HYPERLINK("http://141.218.60.56/~jnz1568/getInfo.php?workbook=14_06.xlsx&amp;sheet=U0&amp;row=1142&amp;col=6&amp;number=4.8&amp;sourceID=14","4.8")</f>
        <v>4.8</v>
      </c>
      <c r="G1142" s="4" t="str">
        <f>HYPERLINK("http://141.218.60.56/~jnz1568/getInfo.php?workbook=14_06.xlsx&amp;sheet=U0&amp;row=1142&amp;col=7&amp;number=0.605&amp;sourceID=14","0.605")</f>
        <v>0.605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HYPERLINK("http://141.218.60.56/~jnz1568/getInfo.php?workbook=14_06.xlsx&amp;sheet=U0&amp;row=1143&amp;col=6&amp;number=4.9&amp;sourceID=14","4.9")</f>
        <v>4.9</v>
      </c>
      <c r="G1143" s="4" t="str">
        <f>HYPERLINK("http://141.218.60.56/~jnz1568/getInfo.php?workbook=14_06.xlsx&amp;sheet=U0&amp;row=1143&amp;col=7&amp;number=0.609&amp;sourceID=14","0.609")</f>
        <v>0.609</v>
      </c>
    </row>
    <row r="1144" spans="1:7">
      <c r="A1144" s="3">
        <v>14</v>
      </c>
      <c r="B1144" s="3">
        <v>6</v>
      </c>
      <c r="C1144" s="3">
        <v>2</v>
      </c>
      <c r="D1144" s="3">
        <v>15</v>
      </c>
      <c r="E1144" s="3">
        <v>1</v>
      </c>
      <c r="F1144" s="4" t="str">
        <f>HYPERLINK("http://141.218.60.56/~jnz1568/getInfo.php?workbook=14_06.xlsx&amp;sheet=U0&amp;row=1144&amp;col=6&amp;number=3&amp;sourceID=14","3")</f>
        <v>3</v>
      </c>
      <c r="G1144" s="4" t="str">
        <f>HYPERLINK("http://141.218.60.56/~jnz1568/getInfo.php?workbook=14_06.xlsx&amp;sheet=U0&amp;row=1144&amp;col=7&amp;number=0.0114&amp;sourceID=14","0.0114")</f>
        <v>0.0114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HYPERLINK("http://141.218.60.56/~jnz1568/getInfo.php?workbook=14_06.xlsx&amp;sheet=U0&amp;row=1145&amp;col=6&amp;number=3.1&amp;sourceID=14","3.1")</f>
        <v>3.1</v>
      </c>
      <c r="G1145" s="4" t="str">
        <f>HYPERLINK("http://141.218.60.56/~jnz1568/getInfo.php?workbook=14_06.xlsx&amp;sheet=U0&amp;row=1145&amp;col=7&amp;number=0.0114&amp;sourceID=14","0.0114")</f>
        <v>0.0114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HYPERLINK("http://141.218.60.56/~jnz1568/getInfo.php?workbook=14_06.xlsx&amp;sheet=U0&amp;row=1146&amp;col=6&amp;number=3.2&amp;sourceID=14","3.2")</f>
        <v>3.2</v>
      </c>
      <c r="G1146" s="4" t="str">
        <f>HYPERLINK("http://141.218.60.56/~jnz1568/getInfo.php?workbook=14_06.xlsx&amp;sheet=U0&amp;row=1146&amp;col=7&amp;number=0.0114&amp;sourceID=14","0.0114")</f>
        <v>0.0114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HYPERLINK("http://141.218.60.56/~jnz1568/getInfo.php?workbook=14_06.xlsx&amp;sheet=U0&amp;row=1147&amp;col=6&amp;number=3.3&amp;sourceID=14","3.3")</f>
        <v>3.3</v>
      </c>
      <c r="G1147" s="4" t="str">
        <f>HYPERLINK("http://141.218.60.56/~jnz1568/getInfo.php?workbook=14_06.xlsx&amp;sheet=U0&amp;row=1147&amp;col=7&amp;number=0.0114&amp;sourceID=14","0.0114")</f>
        <v>0.0114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HYPERLINK("http://141.218.60.56/~jnz1568/getInfo.php?workbook=14_06.xlsx&amp;sheet=U0&amp;row=1148&amp;col=6&amp;number=3.4&amp;sourceID=14","3.4")</f>
        <v>3.4</v>
      </c>
      <c r="G1148" s="4" t="str">
        <f>HYPERLINK("http://141.218.60.56/~jnz1568/getInfo.php?workbook=14_06.xlsx&amp;sheet=U0&amp;row=1148&amp;col=7&amp;number=0.0114&amp;sourceID=14","0.0114")</f>
        <v>0.0114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HYPERLINK("http://141.218.60.56/~jnz1568/getInfo.php?workbook=14_06.xlsx&amp;sheet=U0&amp;row=1149&amp;col=6&amp;number=3.5&amp;sourceID=14","3.5")</f>
        <v>3.5</v>
      </c>
      <c r="G1149" s="4" t="str">
        <f>HYPERLINK("http://141.218.60.56/~jnz1568/getInfo.php?workbook=14_06.xlsx&amp;sheet=U0&amp;row=1149&amp;col=7&amp;number=0.0114&amp;sourceID=14","0.0114")</f>
        <v>0.0114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HYPERLINK("http://141.218.60.56/~jnz1568/getInfo.php?workbook=14_06.xlsx&amp;sheet=U0&amp;row=1150&amp;col=6&amp;number=3.6&amp;sourceID=14","3.6")</f>
        <v>3.6</v>
      </c>
      <c r="G1150" s="4" t="str">
        <f>HYPERLINK("http://141.218.60.56/~jnz1568/getInfo.php?workbook=14_06.xlsx&amp;sheet=U0&amp;row=1150&amp;col=7&amp;number=0.0114&amp;sourceID=14","0.0114")</f>
        <v>0.0114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HYPERLINK("http://141.218.60.56/~jnz1568/getInfo.php?workbook=14_06.xlsx&amp;sheet=U0&amp;row=1151&amp;col=6&amp;number=3.7&amp;sourceID=14","3.7")</f>
        <v>3.7</v>
      </c>
      <c r="G1151" s="4" t="str">
        <f>HYPERLINK("http://141.218.60.56/~jnz1568/getInfo.php?workbook=14_06.xlsx&amp;sheet=U0&amp;row=1151&amp;col=7&amp;number=0.0114&amp;sourceID=14","0.0114")</f>
        <v>0.0114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HYPERLINK("http://141.218.60.56/~jnz1568/getInfo.php?workbook=14_06.xlsx&amp;sheet=U0&amp;row=1152&amp;col=6&amp;number=3.8&amp;sourceID=14","3.8")</f>
        <v>3.8</v>
      </c>
      <c r="G1152" s="4" t="str">
        <f>HYPERLINK("http://141.218.60.56/~jnz1568/getInfo.php?workbook=14_06.xlsx&amp;sheet=U0&amp;row=1152&amp;col=7&amp;number=0.0114&amp;sourceID=14","0.0114")</f>
        <v>0.0114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HYPERLINK("http://141.218.60.56/~jnz1568/getInfo.php?workbook=14_06.xlsx&amp;sheet=U0&amp;row=1153&amp;col=6&amp;number=3.9&amp;sourceID=14","3.9")</f>
        <v>3.9</v>
      </c>
      <c r="G1153" s="4" t="str">
        <f>HYPERLINK("http://141.218.60.56/~jnz1568/getInfo.php?workbook=14_06.xlsx&amp;sheet=U0&amp;row=1153&amp;col=7&amp;number=0.0114&amp;sourceID=14","0.0114")</f>
        <v>0.0114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HYPERLINK("http://141.218.60.56/~jnz1568/getInfo.php?workbook=14_06.xlsx&amp;sheet=U0&amp;row=1154&amp;col=6&amp;number=4&amp;sourceID=14","4")</f>
        <v>4</v>
      </c>
      <c r="G1154" s="4" t="str">
        <f>HYPERLINK("http://141.218.60.56/~jnz1568/getInfo.php?workbook=14_06.xlsx&amp;sheet=U0&amp;row=1154&amp;col=7&amp;number=0.0113&amp;sourceID=14","0.0113")</f>
        <v>0.0113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HYPERLINK("http://141.218.60.56/~jnz1568/getInfo.php?workbook=14_06.xlsx&amp;sheet=U0&amp;row=1155&amp;col=6&amp;number=4.1&amp;sourceID=14","4.1")</f>
        <v>4.1</v>
      </c>
      <c r="G1155" s="4" t="str">
        <f>HYPERLINK("http://141.218.60.56/~jnz1568/getInfo.php?workbook=14_06.xlsx&amp;sheet=U0&amp;row=1155&amp;col=7&amp;number=0.0113&amp;sourceID=14","0.0113")</f>
        <v>0.0113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HYPERLINK("http://141.218.60.56/~jnz1568/getInfo.php?workbook=14_06.xlsx&amp;sheet=U0&amp;row=1156&amp;col=6&amp;number=4.2&amp;sourceID=14","4.2")</f>
        <v>4.2</v>
      </c>
      <c r="G1156" s="4" t="str">
        <f>HYPERLINK("http://141.218.60.56/~jnz1568/getInfo.php?workbook=14_06.xlsx&amp;sheet=U0&amp;row=1156&amp;col=7&amp;number=0.0113&amp;sourceID=14","0.0113")</f>
        <v>0.0113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HYPERLINK("http://141.218.60.56/~jnz1568/getInfo.php?workbook=14_06.xlsx&amp;sheet=U0&amp;row=1157&amp;col=6&amp;number=4.3&amp;sourceID=14","4.3")</f>
        <v>4.3</v>
      </c>
      <c r="G1157" s="4" t="str">
        <f>HYPERLINK("http://141.218.60.56/~jnz1568/getInfo.php?workbook=14_06.xlsx&amp;sheet=U0&amp;row=1157&amp;col=7&amp;number=0.0113&amp;sourceID=14","0.0113")</f>
        <v>0.0113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HYPERLINK("http://141.218.60.56/~jnz1568/getInfo.php?workbook=14_06.xlsx&amp;sheet=U0&amp;row=1158&amp;col=6&amp;number=4.4&amp;sourceID=14","4.4")</f>
        <v>4.4</v>
      </c>
      <c r="G1158" s="4" t="str">
        <f>HYPERLINK("http://141.218.60.56/~jnz1568/getInfo.php?workbook=14_06.xlsx&amp;sheet=U0&amp;row=1158&amp;col=7&amp;number=0.0113&amp;sourceID=14","0.0113")</f>
        <v>0.0113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HYPERLINK("http://141.218.60.56/~jnz1568/getInfo.php?workbook=14_06.xlsx&amp;sheet=U0&amp;row=1159&amp;col=6&amp;number=4.5&amp;sourceID=14","4.5")</f>
        <v>4.5</v>
      </c>
      <c r="G1159" s="4" t="str">
        <f>HYPERLINK("http://141.218.60.56/~jnz1568/getInfo.php?workbook=14_06.xlsx&amp;sheet=U0&amp;row=1159&amp;col=7&amp;number=0.0113&amp;sourceID=14","0.0113")</f>
        <v>0.0113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HYPERLINK("http://141.218.60.56/~jnz1568/getInfo.php?workbook=14_06.xlsx&amp;sheet=U0&amp;row=1160&amp;col=6&amp;number=4.6&amp;sourceID=14","4.6")</f>
        <v>4.6</v>
      </c>
      <c r="G1160" s="4" t="str">
        <f>HYPERLINK("http://141.218.60.56/~jnz1568/getInfo.php?workbook=14_06.xlsx&amp;sheet=U0&amp;row=1160&amp;col=7&amp;number=0.0113&amp;sourceID=14","0.0113")</f>
        <v>0.0113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HYPERLINK("http://141.218.60.56/~jnz1568/getInfo.php?workbook=14_06.xlsx&amp;sheet=U0&amp;row=1161&amp;col=6&amp;number=4.7&amp;sourceID=14","4.7")</f>
        <v>4.7</v>
      </c>
      <c r="G1161" s="4" t="str">
        <f>HYPERLINK("http://141.218.60.56/~jnz1568/getInfo.php?workbook=14_06.xlsx&amp;sheet=U0&amp;row=1161&amp;col=7&amp;number=0.0113&amp;sourceID=14","0.0113")</f>
        <v>0.0113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HYPERLINK("http://141.218.60.56/~jnz1568/getInfo.php?workbook=14_06.xlsx&amp;sheet=U0&amp;row=1162&amp;col=6&amp;number=4.8&amp;sourceID=14","4.8")</f>
        <v>4.8</v>
      </c>
      <c r="G1162" s="4" t="str">
        <f>HYPERLINK("http://141.218.60.56/~jnz1568/getInfo.php?workbook=14_06.xlsx&amp;sheet=U0&amp;row=1162&amp;col=7&amp;number=0.0113&amp;sourceID=14","0.0113")</f>
        <v>0.0113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HYPERLINK("http://141.218.60.56/~jnz1568/getInfo.php?workbook=14_06.xlsx&amp;sheet=U0&amp;row=1163&amp;col=6&amp;number=4.9&amp;sourceID=14","4.9")</f>
        <v>4.9</v>
      </c>
      <c r="G1163" s="4" t="str">
        <f>HYPERLINK("http://141.218.60.56/~jnz1568/getInfo.php?workbook=14_06.xlsx&amp;sheet=U0&amp;row=1163&amp;col=7&amp;number=0.0113&amp;sourceID=14","0.0113")</f>
        <v>0.0113</v>
      </c>
    </row>
    <row r="1164" spans="1:7">
      <c r="A1164" s="3">
        <v>14</v>
      </c>
      <c r="B1164" s="3">
        <v>6</v>
      </c>
      <c r="C1164" s="3">
        <v>2</v>
      </c>
      <c r="D1164" s="3">
        <v>16</v>
      </c>
      <c r="E1164" s="3">
        <v>1</v>
      </c>
      <c r="F1164" s="4" t="str">
        <f>HYPERLINK("http://141.218.60.56/~jnz1568/getInfo.php?workbook=14_06.xlsx&amp;sheet=U0&amp;row=1164&amp;col=6&amp;number=3&amp;sourceID=14","3")</f>
        <v>3</v>
      </c>
      <c r="G1164" s="4" t="str">
        <f>HYPERLINK("http://141.218.60.56/~jnz1568/getInfo.php?workbook=14_06.xlsx&amp;sheet=U0&amp;row=1164&amp;col=7&amp;number=0.00247&amp;sourceID=14","0.00247")</f>
        <v>0.00247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HYPERLINK("http://141.218.60.56/~jnz1568/getInfo.php?workbook=14_06.xlsx&amp;sheet=U0&amp;row=1165&amp;col=6&amp;number=3.1&amp;sourceID=14","3.1")</f>
        <v>3.1</v>
      </c>
      <c r="G1165" s="4" t="str">
        <f>HYPERLINK("http://141.218.60.56/~jnz1568/getInfo.php?workbook=14_06.xlsx&amp;sheet=U0&amp;row=1165&amp;col=7&amp;number=0.00247&amp;sourceID=14","0.00247")</f>
        <v>0.00247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HYPERLINK("http://141.218.60.56/~jnz1568/getInfo.php?workbook=14_06.xlsx&amp;sheet=U0&amp;row=1166&amp;col=6&amp;number=3.2&amp;sourceID=14","3.2")</f>
        <v>3.2</v>
      </c>
      <c r="G1166" s="4" t="str">
        <f>HYPERLINK("http://141.218.60.56/~jnz1568/getInfo.php?workbook=14_06.xlsx&amp;sheet=U0&amp;row=1166&amp;col=7&amp;number=0.00247&amp;sourceID=14","0.00247")</f>
        <v>0.00247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HYPERLINK("http://141.218.60.56/~jnz1568/getInfo.php?workbook=14_06.xlsx&amp;sheet=U0&amp;row=1167&amp;col=6&amp;number=3.3&amp;sourceID=14","3.3")</f>
        <v>3.3</v>
      </c>
      <c r="G1167" s="4" t="str">
        <f>HYPERLINK("http://141.218.60.56/~jnz1568/getInfo.php?workbook=14_06.xlsx&amp;sheet=U0&amp;row=1167&amp;col=7&amp;number=0.00247&amp;sourceID=14","0.00247")</f>
        <v>0.00247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HYPERLINK("http://141.218.60.56/~jnz1568/getInfo.php?workbook=14_06.xlsx&amp;sheet=U0&amp;row=1168&amp;col=6&amp;number=3.4&amp;sourceID=14","3.4")</f>
        <v>3.4</v>
      </c>
      <c r="G1168" s="4" t="str">
        <f>HYPERLINK("http://141.218.60.56/~jnz1568/getInfo.php?workbook=14_06.xlsx&amp;sheet=U0&amp;row=1168&amp;col=7&amp;number=0.00247&amp;sourceID=14","0.00247")</f>
        <v>0.00247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HYPERLINK("http://141.218.60.56/~jnz1568/getInfo.php?workbook=14_06.xlsx&amp;sheet=U0&amp;row=1169&amp;col=6&amp;number=3.5&amp;sourceID=14","3.5")</f>
        <v>3.5</v>
      </c>
      <c r="G1169" s="4" t="str">
        <f>HYPERLINK("http://141.218.60.56/~jnz1568/getInfo.php?workbook=14_06.xlsx&amp;sheet=U0&amp;row=1169&amp;col=7&amp;number=0.00247&amp;sourceID=14","0.00247")</f>
        <v>0.00247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HYPERLINK("http://141.218.60.56/~jnz1568/getInfo.php?workbook=14_06.xlsx&amp;sheet=U0&amp;row=1170&amp;col=6&amp;number=3.6&amp;sourceID=14","3.6")</f>
        <v>3.6</v>
      </c>
      <c r="G1170" s="4" t="str">
        <f>HYPERLINK("http://141.218.60.56/~jnz1568/getInfo.php?workbook=14_06.xlsx&amp;sheet=U0&amp;row=1170&amp;col=7&amp;number=0.00248&amp;sourceID=14","0.00248")</f>
        <v>0.00248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HYPERLINK("http://141.218.60.56/~jnz1568/getInfo.php?workbook=14_06.xlsx&amp;sheet=U0&amp;row=1171&amp;col=6&amp;number=3.7&amp;sourceID=14","3.7")</f>
        <v>3.7</v>
      </c>
      <c r="G1171" s="4" t="str">
        <f>HYPERLINK("http://141.218.60.56/~jnz1568/getInfo.php?workbook=14_06.xlsx&amp;sheet=U0&amp;row=1171&amp;col=7&amp;number=0.00248&amp;sourceID=14","0.00248")</f>
        <v>0.00248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HYPERLINK("http://141.218.60.56/~jnz1568/getInfo.php?workbook=14_06.xlsx&amp;sheet=U0&amp;row=1172&amp;col=6&amp;number=3.8&amp;sourceID=14","3.8")</f>
        <v>3.8</v>
      </c>
      <c r="G1172" s="4" t="str">
        <f>HYPERLINK("http://141.218.60.56/~jnz1568/getInfo.php?workbook=14_06.xlsx&amp;sheet=U0&amp;row=1172&amp;col=7&amp;number=0.00248&amp;sourceID=14","0.00248")</f>
        <v>0.00248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HYPERLINK("http://141.218.60.56/~jnz1568/getInfo.php?workbook=14_06.xlsx&amp;sheet=U0&amp;row=1173&amp;col=6&amp;number=3.9&amp;sourceID=14","3.9")</f>
        <v>3.9</v>
      </c>
      <c r="G1173" s="4" t="str">
        <f>HYPERLINK("http://141.218.60.56/~jnz1568/getInfo.php?workbook=14_06.xlsx&amp;sheet=U0&amp;row=1173&amp;col=7&amp;number=0.00248&amp;sourceID=14","0.00248")</f>
        <v>0.00248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HYPERLINK("http://141.218.60.56/~jnz1568/getInfo.php?workbook=14_06.xlsx&amp;sheet=U0&amp;row=1174&amp;col=6&amp;number=4&amp;sourceID=14","4")</f>
        <v>4</v>
      </c>
      <c r="G1174" s="4" t="str">
        <f>HYPERLINK("http://141.218.60.56/~jnz1568/getInfo.php?workbook=14_06.xlsx&amp;sheet=U0&amp;row=1174&amp;col=7&amp;number=0.00248&amp;sourceID=14","0.00248")</f>
        <v>0.00248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HYPERLINK("http://141.218.60.56/~jnz1568/getInfo.php?workbook=14_06.xlsx&amp;sheet=U0&amp;row=1175&amp;col=6&amp;number=4.1&amp;sourceID=14","4.1")</f>
        <v>4.1</v>
      </c>
      <c r="G1175" s="4" t="str">
        <f>HYPERLINK("http://141.218.60.56/~jnz1568/getInfo.php?workbook=14_06.xlsx&amp;sheet=U0&amp;row=1175&amp;col=7&amp;number=0.00248&amp;sourceID=14","0.00248")</f>
        <v>0.00248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HYPERLINK("http://141.218.60.56/~jnz1568/getInfo.php?workbook=14_06.xlsx&amp;sheet=U0&amp;row=1176&amp;col=6&amp;number=4.2&amp;sourceID=14","4.2")</f>
        <v>4.2</v>
      </c>
      <c r="G1176" s="4" t="str">
        <f>HYPERLINK("http://141.218.60.56/~jnz1568/getInfo.php?workbook=14_06.xlsx&amp;sheet=U0&amp;row=1176&amp;col=7&amp;number=0.00248&amp;sourceID=14","0.00248")</f>
        <v>0.00248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HYPERLINK("http://141.218.60.56/~jnz1568/getInfo.php?workbook=14_06.xlsx&amp;sheet=U0&amp;row=1177&amp;col=6&amp;number=4.3&amp;sourceID=14","4.3")</f>
        <v>4.3</v>
      </c>
      <c r="G1177" s="4" t="str">
        <f>HYPERLINK("http://141.218.60.56/~jnz1568/getInfo.php?workbook=14_06.xlsx&amp;sheet=U0&amp;row=1177&amp;col=7&amp;number=0.00248&amp;sourceID=14","0.00248")</f>
        <v>0.00248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HYPERLINK("http://141.218.60.56/~jnz1568/getInfo.php?workbook=14_06.xlsx&amp;sheet=U0&amp;row=1178&amp;col=6&amp;number=4.4&amp;sourceID=14","4.4")</f>
        <v>4.4</v>
      </c>
      <c r="G1178" s="4" t="str">
        <f>HYPERLINK("http://141.218.60.56/~jnz1568/getInfo.php?workbook=14_06.xlsx&amp;sheet=U0&amp;row=1178&amp;col=7&amp;number=0.00248&amp;sourceID=14","0.00248")</f>
        <v>0.00248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HYPERLINK("http://141.218.60.56/~jnz1568/getInfo.php?workbook=14_06.xlsx&amp;sheet=U0&amp;row=1179&amp;col=6&amp;number=4.5&amp;sourceID=14","4.5")</f>
        <v>4.5</v>
      </c>
      <c r="G1179" s="4" t="str">
        <f>HYPERLINK("http://141.218.60.56/~jnz1568/getInfo.php?workbook=14_06.xlsx&amp;sheet=U0&amp;row=1179&amp;col=7&amp;number=0.00248&amp;sourceID=14","0.00248")</f>
        <v>0.00248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HYPERLINK("http://141.218.60.56/~jnz1568/getInfo.php?workbook=14_06.xlsx&amp;sheet=U0&amp;row=1180&amp;col=6&amp;number=4.6&amp;sourceID=14","4.6")</f>
        <v>4.6</v>
      </c>
      <c r="G1180" s="4" t="str">
        <f>HYPERLINK("http://141.218.60.56/~jnz1568/getInfo.php?workbook=14_06.xlsx&amp;sheet=U0&amp;row=1180&amp;col=7&amp;number=0.00249&amp;sourceID=14","0.00249")</f>
        <v>0.00249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HYPERLINK("http://141.218.60.56/~jnz1568/getInfo.php?workbook=14_06.xlsx&amp;sheet=U0&amp;row=1181&amp;col=6&amp;number=4.7&amp;sourceID=14","4.7")</f>
        <v>4.7</v>
      </c>
      <c r="G1181" s="4" t="str">
        <f>HYPERLINK("http://141.218.60.56/~jnz1568/getInfo.php?workbook=14_06.xlsx&amp;sheet=U0&amp;row=1181&amp;col=7&amp;number=0.00249&amp;sourceID=14","0.00249")</f>
        <v>0.00249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HYPERLINK("http://141.218.60.56/~jnz1568/getInfo.php?workbook=14_06.xlsx&amp;sheet=U0&amp;row=1182&amp;col=6&amp;number=4.8&amp;sourceID=14","4.8")</f>
        <v>4.8</v>
      </c>
      <c r="G1182" s="4" t="str">
        <f>HYPERLINK("http://141.218.60.56/~jnz1568/getInfo.php?workbook=14_06.xlsx&amp;sheet=U0&amp;row=1182&amp;col=7&amp;number=0.00249&amp;sourceID=14","0.00249")</f>
        <v>0.00249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HYPERLINK("http://141.218.60.56/~jnz1568/getInfo.php?workbook=14_06.xlsx&amp;sheet=U0&amp;row=1183&amp;col=6&amp;number=4.9&amp;sourceID=14","4.9")</f>
        <v>4.9</v>
      </c>
      <c r="G1183" s="4" t="str">
        <f>HYPERLINK("http://141.218.60.56/~jnz1568/getInfo.php?workbook=14_06.xlsx&amp;sheet=U0&amp;row=1183&amp;col=7&amp;number=0.0025&amp;sourceID=14","0.0025")</f>
        <v>0.0025</v>
      </c>
    </row>
    <row r="1184" spans="1:7">
      <c r="A1184" s="3">
        <v>14</v>
      </c>
      <c r="B1184" s="3">
        <v>6</v>
      </c>
      <c r="C1184" s="3">
        <v>2</v>
      </c>
      <c r="D1184" s="3">
        <v>17</v>
      </c>
      <c r="E1184" s="3">
        <v>1</v>
      </c>
      <c r="F1184" s="4" t="str">
        <f>HYPERLINK("http://141.218.60.56/~jnz1568/getInfo.php?workbook=14_06.xlsx&amp;sheet=U0&amp;row=1184&amp;col=6&amp;number=3&amp;sourceID=14","3")</f>
        <v>3</v>
      </c>
      <c r="G1184" s="4" t="str">
        <f>HYPERLINK("http://141.218.60.56/~jnz1568/getInfo.php?workbook=14_06.xlsx&amp;sheet=U0&amp;row=1184&amp;col=7&amp;number=0.00199&amp;sourceID=14","0.00199")</f>
        <v>0.00199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HYPERLINK("http://141.218.60.56/~jnz1568/getInfo.php?workbook=14_06.xlsx&amp;sheet=U0&amp;row=1185&amp;col=6&amp;number=3.1&amp;sourceID=14","3.1")</f>
        <v>3.1</v>
      </c>
      <c r="G1185" s="4" t="str">
        <f>HYPERLINK("http://141.218.60.56/~jnz1568/getInfo.php?workbook=14_06.xlsx&amp;sheet=U0&amp;row=1185&amp;col=7&amp;number=0.00199&amp;sourceID=14","0.00199")</f>
        <v>0.00199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HYPERLINK("http://141.218.60.56/~jnz1568/getInfo.php?workbook=14_06.xlsx&amp;sheet=U0&amp;row=1186&amp;col=6&amp;number=3.2&amp;sourceID=14","3.2")</f>
        <v>3.2</v>
      </c>
      <c r="G1186" s="4" t="str">
        <f>HYPERLINK("http://141.218.60.56/~jnz1568/getInfo.php?workbook=14_06.xlsx&amp;sheet=U0&amp;row=1186&amp;col=7&amp;number=0.00199&amp;sourceID=14","0.00199")</f>
        <v>0.00199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HYPERLINK("http://141.218.60.56/~jnz1568/getInfo.php?workbook=14_06.xlsx&amp;sheet=U0&amp;row=1187&amp;col=6&amp;number=3.3&amp;sourceID=14","3.3")</f>
        <v>3.3</v>
      </c>
      <c r="G1187" s="4" t="str">
        <f>HYPERLINK("http://141.218.60.56/~jnz1568/getInfo.php?workbook=14_06.xlsx&amp;sheet=U0&amp;row=1187&amp;col=7&amp;number=0.00199&amp;sourceID=14","0.00199")</f>
        <v>0.00199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HYPERLINK("http://141.218.60.56/~jnz1568/getInfo.php?workbook=14_06.xlsx&amp;sheet=U0&amp;row=1188&amp;col=6&amp;number=3.4&amp;sourceID=14","3.4")</f>
        <v>3.4</v>
      </c>
      <c r="G1188" s="4" t="str">
        <f>HYPERLINK("http://141.218.60.56/~jnz1568/getInfo.php?workbook=14_06.xlsx&amp;sheet=U0&amp;row=1188&amp;col=7&amp;number=0.00199&amp;sourceID=14","0.00199")</f>
        <v>0.00199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HYPERLINK("http://141.218.60.56/~jnz1568/getInfo.php?workbook=14_06.xlsx&amp;sheet=U0&amp;row=1189&amp;col=6&amp;number=3.5&amp;sourceID=14","3.5")</f>
        <v>3.5</v>
      </c>
      <c r="G1189" s="4" t="str">
        <f>HYPERLINK("http://141.218.60.56/~jnz1568/getInfo.php?workbook=14_06.xlsx&amp;sheet=U0&amp;row=1189&amp;col=7&amp;number=0.00199&amp;sourceID=14","0.00199")</f>
        <v>0.00199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HYPERLINK("http://141.218.60.56/~jnz1568/getInfo.php?workbook=14_06.xlsx&amp;sheet=U0&amp;row=1190&amp;col=6&amp;number=3.6&amp;sourceID=14","3.6")</f>
        <v>3.6</v>
      </c>
      <c r="G1190" s="4" t="str">
        <f>HYPERLINK("http://141.218.60.56/~jnz1568/getInfo.php?workbook=14_06.xlsx&amp;sheet=U0&amp;row=1190&amp;col=7&amp;number=0.00199&amp;sourceID=14","0.00199")</f>
        <v>0.00199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HYPERLINK("http://141.218.60.56/~jnz1568/getInfo.php?workbook=14_06.xlsx&amp;sheet=U0&amp;row=1191&amp;col=6&amp;number=3.7&amp;sourceID=14","3.7")</f>
        <v>3.7</v>
      </c>
      <c r="G1191" s="4" t="str">
        <f>HYPERLINK("http://141.218.60.56/~jnz1568/getInfo.php?workbook=14_06.xlsx&amp;sheet=U0&amp;row=1191&amp;col=7&amp;number=0.00199&amp;sourceID=14","0.00199")</f>
        <v>0.00199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HYPERLINK("http://141.218.60.56/~jnz1568/getInfo.php?workbook=14_06.xlsx&amp;sheet=U0&amp;row=1192&amp;col=6&amp;number=3.8&amp;sourceID=14","3.8")</f>
        <v>3.8</v>
      </c>
      <c r="G1192" s="4" t="str">
        <f>HYPERLINK("http://141.218.60.56/~jnz1568/getInfo.php?workbook=14_06.xlsx&amp;sheet=U0&amp;row=1192&amp;col=7&amp;number=0.00199&amp;sourceID=14","0.00199")</f>
        <v>0.00199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HYPERLINK("http://141.218.60.56/~jnz1568/getInfo.php?workbook=14_06.xlsx&amp;sheet=U0&amp;row=1193&amp;col=6&amp;number=3.9&amp;sourceID=14","3.9")</f>
        <v>3.9</v>
      </c>
      <c r="G1193" s="4" t="str">
        <f>HYPERLINK("http://141.218.60.56/~jnz1568/getInfo.php?workbook=14_06.xlsx&amp;sheet=U0&amp;row=1193&amp;col=7&amp;number=0.00199&amp;sourceID=14","0.00199")</f>
        <v>0.00199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HYPERLINK("http://141.218.60.56/~jnz1568/getInfo.php?workbook=14_06.xlsx&amp;sheet=U0&amp;row=1194&amp;col=6&amp;number=4&amp;sourceID=14","4")</f>
        <v>4</v>
      </c>
      <c r="G1194" s="4" t="str">
        <f>HYPERLINK("http://141.218.60.56/~jnz1568/getInfo.php?workbook=14_06.xlsx&amp;sheet=U0&amp;row=1194&amp;col=7&amp;number=0.00199&amp;sourceID=14","0.00199")</f>
        <v>0.00199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HYPERLINK("http://141.218.60.56/~jnz1568/getInfo.php?workbook=14_06.xlsx&amp;sheet=U0&amp;row=1195&amp;col=6&amp;number=4.1&amp;sourceID=14","4.1")</f>
        <v>4.1</v>
      </c>
      <c r="G1195" s="4" t="str">
        <f>HYPERLINK("http://141.218.60.56/~jnz1568/getInfo.php?workbook=14_06.xlsx&amp;sheet=U0&amp;row=1195&amp;col=7&amp;number=0.00199&amp;sourceID=14","0.00199")</f>
        <v>0.00199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HYPERLINK("http://141.218.60.56/~jnz1568/getInfo.php?workbook=14_06.xlsx&amp;sheet=U0&amp;row=1196&amp;col=6&amp;number=4.2&amp;sourceID=14","4.2")</f>
        <v>4.2</v>
      </c>
      <c r="G1196" s="4" t="str">
        <f>HYPERLINK("http://141.218.60.56/~jnz1568/getInfo.php?workbook=14_06.xlsx&amp;sheet=U0&amp;row=1196&amp;col=7&amp;number=0.00199&amp;sourceID=14","0.00199")</f>
        <v>0.00199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HYPERLINK("http://141.218.60.56/~jnz1568/getInfo.php?workbook=14_06.xlsx&amp;sheet=U0&amp;row=1197&amp;col=6&amp;number=4.3&amp;sourceID=14","4.3")</f>
        <v>4.3</v>
      </c>
      <c r="G1197" s="4" t="str">
        <f>HYPERLINK("http://141.218.60.56/~jnz1568/getInfo.php?workbook=14_06.xlsx&amp;sheet=U0&amp;row=1197&amp;col=7&amp;number=0.00199&amp;sourceID=14","0.00199")</f>
        <v>0.00199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HYPERLINK("http://141.218.60.56/~jnz1568/getInfo.php?workbook=14_06.xlsx&amp;sheet=U0&amp;row=1198&amp;col=6&amp;number=4.4&amp;sourceID=14","4.4")</f>
        <v>4.4</v>
      </c>
      <c r="G1198" s="4" t="str">
        <f>HYPERLINK("http://141.218.60.56/~jnz1568/getInfo.php?workbook=14_06.xlsx&amp;sheet=U0&amp;row=1198&amp;col=7&amp;number=0.00199&amp;sourceID=14","0.00199")</f>
        <v>0.00199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HYPERLINK("http://141.218.60.56/~jnz1568/getInfo.php?workbook=14_06.xlsx&amp;sheet=U0&amp;row=1199&amp;col=6&amp;number=4.5&amp;sourceID=14","4.5")</f>
        <v>4.5</v>
      </c>
      <c r="G1199" s="4" t="str">
        <f>HYPERLINK("http://141.218.60.56/~jnz1568/getInfo.php?workbook=14_06.xlsx&amp;sheet=U0&amp;row=1199&amp;col=7&amp;number=0.00199&amp;sourceID=14","0.00199")</f>
        <v>0.00199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HYPERLINK("http://141.218.60.56/~jnz1568/getInfo.php?workbook=14_06.xlsx&amp;sheet=U0&amp;row=1200&amp;col=6&amp;number=4.6&amp;sourceID=14","4.6")</f>
        <v>4.6</v>
      </c>
      <c r="G1200" s="4" t="str">
        <f>HYPERLINK("http://141.218.60.56/~jnz1568/getInfo.php?workbook=14_06.xlsx&amp;sheet=U0&amp;row=1200&amp;col=7&amp;number=0.00199&amp;sourceID=14","0.00199")</f>
        <v>0.00199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HYPERLINK("http://141.218.60.56/~jnz1568/getInfo.php?workbook=14_06.xlsx&amp;sheet=U0&amp;row=1201&amp;col=6&amp;number=4.7&amp;sourceID=14","4.7")</f>
        <v>4.7</v>
      </c>
      <c r="G1201" s="4" t="str">
        <f>HYPERLINK("http://141.218.60.56/~jnz1568/getInfo.php?workbook=14_06.xlsx&amp;sheet=U0&amp;row=1201&amp;col=7&amp;number=0.00199&amp;sourceID=14","0.00199")</f>
        <v>0.00199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HYPERLINK("http://141.218.60.56/~jnz1568/getInfo.php?workbook=14_06.xlsx&amp;sheet=U0&amp;row=1202&amp;col=6&amp;number=4.8&amp;sourceID=14","4.8")</f>
        <v>4.8</v>
      </c>
      <c r="G1202" s="4" t="str">
        <f>HYPERLINK("http://141.218.60.56/~jnz1568/getInfo.php?workbook=14_06.xlsx&amp;sheet=U0&amp;row=1202&amp;col=7&amp;number=0.00199&amp;sourceID=14","0.00199")</f>
        <v>0.00199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HYPERLINK("http://141.218.60.56/~jnz1568/getInfo.php?workbook=14_06.xlsx&amp;sheet=U0&amp;row=1203&amp;col=6&amp;number=4.9&amp;sourceID=14","4.9")</f>
        <v>4.9</v>
      </c>
      <c r="G1203" s="4" t="str">
        <f>HYPERLINK("http://141.218.60.56/~jnz1568/getInfo.php?workbook=14_06.xlsx&amp;sheet=U0&amp;row=1203&amp;col=7&amp;number=0.00199&amp;sourceID=14","0.00199")</f>
        <v>0.00199</v>
      </c>
    </row>
    <row r="1204" spans="1:7">
      <c r="A1204" s="3">
        <v>14</v>
      </c>
      <c r="B1204" s="3">
        <v>6</v>
      </c>
      <c r="C1204" s="3">
        <v>2</v>
      </c>
      <c r="D1204" s="3">
        <v>18</v>
      </c>
      <c r="E1204" s="3">
        <v>1</v>
      </c>
      <c r="F1204" s="4" t="str">
        <f>HYPERLINK("http://141.218.60.56/~jnz1568/getInfo.php?workbook=14_06.xlsx&amp;sheet=U0&amp;row=1204&amp;col=6&amp;number=3&amp;sourceID=14","3")</f>
        <v>3</v>
      </c>
      <c r="G1204" s="4" t="str">
        <f>HYPERLINK("http://141.218.60.56/~jnz1568/getInfo.php?workbook=14_06.xlsx&amp;sheet=U0&amp;row=1204&amp;col=7&amp;number=0.00013&amp;sourceID=14","0.00013")</f>
        <v>0.00013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HYPERLINK("http://141.218.60.56/~jnz1568/getInfo.php?workbook=14_06.xlsx&amp;sheet=U0&amp;row=1205&amp;col=6&amp;number=3.1&amp;sourceID=14","3.1")</f>
        <v>3.1</v>
      </c>
      <c r="G1205" s="4" t="str">
        <f>HYPERLINK("http://141.218.60.56/~jnz1568/getInfo.php?workbook=14_06.xlsx&amp;sheet=U0&amp;row=1205&amp;col=7&amp;number=0.00013&amp;sourceID=14","0.00013")</f>
        <v>0.00013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HYPERLINK("http://141.218.60.56/~jnz1568/getInfo.php?workbook=14_06.xlsx&amp;sheet=U0&amp;row=1206&amp;col=6&amp;number=3.2&amp;sourceID=14","3.2")</f>
        <v>3.2</v>
      </c>
      <c r="G1206" s="4" t="str">
        <f>HYPERLINK("http://141.218.60.56/~jnz1568/getInfo.php?workbook=14_06.xlsx&amp;sheet=U0&amp;row=1206&amp;col=7&amp;number=0.00013&amp;sourceID=14","0.00013")</f>
        <v>0.00013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HYPERLINK("http://141.218.60.56/~jnz1568/getInfo.php?workbook=14_06.xlsx&amp;sheet=U0&amp;row=1207&amp;col=6&amp;number=3.3&amp;sourceID=14","3.3")</f>
        <v>3.3</v>
      </c>
      <c r="G1207" s="4" t="str">
        <f>HYPERLINK("http://141.218.60.56/~jnz1568/getInfo.php?workbook=14_06.xlsx&amp;sheet=U0&amp;row=1207&amp;col=7&amp;number=0.00013&amp;sourceID=14","0.00013")</f>
        <v>0.00013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HYPERLINK("http://141.218.60.56/~jnz1568/getInfo.php?workbook=14_06.xlsx&amp;sheet=U0&amp;row=1208&amp;col=6&amp;number=3.4&amp;sourceID=14","3.4")</f>
        <v>3.4</v>
      </c>
      <c r="G1208" s="4" t="str">
        <f>HYPERLINK("http://141.218.60.56/~jnz1568/getInfo.php?workbook=14_06.xlsx&amp;sheet=U0&amp;row=1208&amp;col=7&amp;number=0.00013&amp;sourceID=14","0.00013")</f>
        <v>0.00013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HYPERLINK("http://141.218.60.56/~jnz1568/getInfo.php?workbook=14_06.xlsx&amp;sheet=U0&amp;row=1209&amp;col=6&amp;number=3.5&amp;sourceID=14","3.5")</f>
        <v>3.5</v>
      </c>
      <c r="G1209" s="4" t="str">
        <f>HYPERLINK("http://141.218.60.56/~jnz1568/getInfo.php?workbook=14_06.xlsx&amp;sheet=U0&amp;row=1209&amp;col=7&amp;number=0.00013&amp;sourceID=14","0.00013")</f>
        <v>0.00013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HYPERLINK("http://141.218.60.56/~jnz1568/getInfo.php?workbook=14_06.xlsx&amp;sheet=U0&amp;row=1210&amp;col=6&amp;number=3.6&amp;sourceID=14","3.6")</f>
        <v>3.6</v>
      </c>
      <c r="G1210" s="4" t="str">
        <f>HYPERLINK("http://141.218.60.56/~jnz1568/getInfo.php?workbook=14_06.xlsx&amp;sheet=U0&amp;row=1210&amp;col=7&amp;number=0.00013&amp;sourceID=14","0.00013")</f>
        <v>0.00013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HYPERLINK("http://141.218.60.56/~jnz1568/getInfo.php?workbook=14_06.xlsx&amp;sheet=U0&amp;row=1211&amp;col=6&amp;number=3.7&amp;sourceID=14","3.7")</f>
        <v>3.7</v>
      </c>
      <c r="G1211" s="4" t="str">
        <f>HYPERLINK("http://141.218.60.56/~jnz1568/getInfo.php?workbook=14_06.xlsx&amp;sheet=U0&amp;row=1211&amp;col=7&amp;number=0.00013&amp;sourceID=14","0.00013")</f>
        <v>0.00013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HYPERLINK("http://141.218.60.56/~jnz1568/getInfo.php?workbook=14_06.xlsx&amp;sheet=U0&amp;row=1212&amp;col=6&amp;number=3.8&amp;sourceID=14","3.8")</f>
        <v>3.8</v>
      </c>
      <c r="G1212" s="4" t="str">
        <f>HYPERLINK("http://141.218.60.56/~jnz1568/getInfo.php?workbook=14_06.xlsx&amp;sheet=U0&amp;row=1212&amp;col=7&amp;number=0.00013&amp;sourceID=14","0.00013")</f>
        <v>0.00013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HYPERLINK("http://141.218.60.56/~jnz1568/getInfo.php?workbook=14_06.xlsx&amp;sheet=U0&amp;row=1213&amp;col=6&amp;number=3.9&amp;sourceID=14","3.9")</f>
        <v>3.9</v>
      </c>
      <c r="G1213" s="4" t="str">
        <f>HYPERLINK("http://141.218.60.56/~jnz1568/getInfo.php?workbook=14_06.xlsx&amp;sheet=U0&amp;row=1213&amp;col=7&amp;number=0.00013&amp;sourceID=14","0.00013")</f>
        <v>0.00013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HYPERLINK("http://141.218.60.56/~jnz1568/getInfo.php?workbook=14_06.xlsx&amp;sheet=U0&amp;row=1214&amp;col=6&amp;number=4&amp;sourceID=14","4")</f>
        <v>4</v>
      </c>
      <c r="G1214" s="4" t="str">
        <f>HYPERLINK("http://141.218.60.56/~jnz1568/getInfo.php?workbook=14_06.xlsx&amp;sheet=U0&amp;row=1214&amp;col=7&amp;number=0.00013&amp;sourceID=14","0.00013")</f>
        <v>0.00013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HYPERLINK("http://141.218.60.56/~jnz1568/getInfo.php?workbook=14_06.xlsx&amp;sheet=U0&amp;row=1215&amp;col=6&amp;number=4.1&amp;sourceID=14","4.1")</f>
        <v>4.1</v>
      </c>
      <c r="G1215" s="4" t="str">
        <f>HYPERLINK("http://141.218.60.56/~jnz1568/getInfo.php?workbook=14_06.xlsx&amp;sheet=U0&amp;row=1215&amp;col=7&amp;number=0.00013&amp;sourceID=14","0.00013")</f>
        <v>0.00013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HYPERLINK("http://141.218.60.56/~jnz1568/getInfo.php?workbook=14_06.xlsx&amp;sheet=U0&amp;row=1216&amp;col=6&amp;number=4.2&amp;sourceID=14","4.2")</f>
        <v>4.2</v>
      </c>
      <c r="G1216" s="4" t="str">
        <f>HYPERLINK("http://141.218.60.56/~jnz1568/getInfo.php?workbook=14_06.xlsx&amp;sheet=U0&amp;row=1216&amp;col=7&amp;number=0.00013&amp;sourceID=14","0.00013")</f>
        <v>0.00013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HYPERLINK("http://141.218.60.56/~jnz1568/getInfo.php?workbook=14_06.xlsx&amp;sheet=U0&amp;row=1217&amp;col=6&amp;number=4.3&amp;sourceID=14","4.3")</f>
        <v>4.3</v>
      </c>
      <c r="G1217" s="4" t="str">
        <f>HYPERLINK("http://141.218.60.56/~jnz1568/getInfo.php?workbook=14_06.xlsx&amp;sheet=U0&amp;row=1217&amp;col=7&amp;number=0.000129&amp;sourceID=14","0.000129")</f>
        <v>0.000129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HYPERLINK("http://141.218.60.56/~jnz1568/getInfo.php?workbook=14_06.xlsx&amp;sheet=U0&amp;row=1218&amp;col=6&amp;number=4.4&amp;sourceID=14","4.4")</f>
        <v>4.4</v>
      </c>
      <c r="G1218" s="4" t="str">
        <f>HYPERLINK("http://141.218.60.56/~jnz1568/getInfo.php?workbook=14_06.xlsx&amp;sheet=U0&amp;row=1218&amp;col=7&amp;number=0.000129&amp;sourceID=14","0.000129")</f>
        <v>0.000129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HYPERLINK("http://141.218.60.56/~jnz1568/getInfo.php?workbook=14_06.xlsx&amp;sheet=U0&amp;row=1219&amp;col=6&amp;number=4.5&amp;sourceID=14","4.5")</f>
        <v>4.5</v>
      </c>
      <c r="G1219" s="4" t="str">
        <f>HYPERLINK("http://141.218.60.56/~jnz1568/getInfo.php?workbook=14_06.xlsx&amp;sheet=U0&amp;row=1219&amp;col=7&amp;number=0.000129&amp;sourceID=14","0.000129")</f>
        <v>0.000129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HYPERLINK("http://141.218.60.56/~jnz1568/getInfo.php?workbook=14_06.xlsx&amp;sheet=U0&amp;row=1220&amp;col=6&amp;number=4.6&amp;sourceID=14","4.6")</f>
        <v>4.6</v>
      </c>
      <c r="G1220" s="4" t="str">
        <f>HYPERLINK("http://141.218.60.56/~jnz1568/getInfo.php?workbook=14_06.xlsx&amp;sheet=U0&amp;row=1220&amp;col=7&amp;number=0.000129&amp;sourceID=14","0.000129")</f>
        <v>0.000129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HYPERLINK("http://141.218.60.56/~jnz1568/getInfo.php?workbook=14_06.xlsx&amp;sheet=U0&amp;row=1221&amp;col=6&amp;number=4.7&amp;sourceID=14","4.7")</f>
        <v>4.7</v>
      </c>
      <c r="G1221" s="4" t="str">
        <f>HYPERLINK("http://141.218.60.56/~jnz1568/getInfo.php?workbook=14_06.xlsx&amp;sheet=U0&amp;row=1221&amp;col=7&amp;number=0.000128&amp;sourceID=14","0.000128")</f>
        <v>0.000128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HYPERLINK("http://141.218.60.56/~jnz1568/getInfo.php?workbook=14_06.xlsx&amp;sheet=U0&amp;row=1222&amp;col=6&amp;number=4.8&amp;sourceID=14","4.8")</f>
        <v>4.8</v>
      </c>
      <c r="G1222" s="4" t="str">
        <f>HYPERLINK("http://141.218.60.56/~jnz1568/getInfo.php?workbook=14_06.xlsx&amp;sheet=U0&amp;row=1222&amp;col=7&amp;number=0.000128&amp;sourceID=14","0.000128")</f>
        <v>0.000128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HYPERLINK("http://141.218.60.56/~jnz1568/getInfo.php?workbook=14_06.xlsx&amp;sheet=U0&amp;row=1223&amp;col=6&amp;number=4.9&amp;sourceID=14","4.9")</f>
        <v>4.9</v>
      </c>
      <c r="G1223" s="4" t="str">
        <f>HYPERLINK("http://141.218.60.56/~jnz1568/getInfo.php?workbook=14_06.xlsx&amp;sheet=U0&amp;row=1223&amp;col=7&amp;number=0.000127&amp;sourceID=14","0.000127")</f>
        <v>0.000127</v>
      </c>
    </row>
    <row r="1224" spans="1:7">
      <c r="A1224" s="3">
        <v>14</v>
      </c>
      <c r="B1224" s="3">
        <v>6</v>
      </c>
      <c r="C1224" s="3">
        <v>2</v>
      </c>
      <c r="D1224" s="3">
        <v>19</v>
      </c>
      <c r="E1224" s="3">
        <v>1</v>
      </c>
      <c r="F1224" s="4" t="str">
        <f>HYPERLINK("http://141.218.60.56/~jnz1568/getInfo.php?workbook=14_06.xlsx&amp;sheet=U0&amp;row=1224&amp;col=6&amp;number=3&amp;sourceID=14","3")</f>
        <v>3</v>
      </c>
      <c r="G1224" s="4" t="str">
        <f>HYPERLINK("http://141.218.60.56/~jnz1568/getInfo.php?workbook=14_06.xlsx&amp;sheet=U0&amp;row=1224&amp;col=7&amp;number=0.00125&amp;sourceID=14","0.00125")</f>
        <v>0.00125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HYPERLINK("http://141.218.60.56/~jnz1568/getInfo.php?workbook=14_06.xlsx&amp;sheet=U0&amp;row=1225&amp;col=6&amp;number=3.1&amp;sourceID=14","3.1")</f>
        <v>3.1</v>
      </c>
      <c r="G1225" s="4" t="str">
        <f>HYPERLINK("http://141.218.60.56/~jnz1568/getInfo.php?workbook=14_06.xlsx&amp;sheet=U0&amp;row=1225&amp;col=7&amp;number=0.00125&amp;sourceID=14","0.00125")</f>
        <v>0.00125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HYPERLINK("http://141.218.60.56/~jnz1568/getInfo.php?workbook=14_06.xlsx&amp;sheet=U0&amp;row=1226&amp;col=6&amp;number=3.2&amp;sourceID=14","3.2")</f>
        <v>3.2</v>
      </c>
      <c r="G1226" s="4" t="str">
        <f>HYPERLINK("http://141.218.60.56/~jnz1568/getInfo.php?workbook=14_06.xlsx&amp;sheet=U0&amp;row=1226&amp;col=7&amp;number=0.00125&amp;sourceID=14","0.00125")</f>
        <v>0.00125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HYPERLINK("http://141.218.60.56/~jnz1568/getInfo.php?workbook=14_06.xlsx&amp;sheet=U0&amp;row=1227&amp;col=6&amp;number=3.3&amp;sourceID=14","3.3")</f>
        <v>3.3</v>
      </c>
      <c r="G1227" s="4" t="str">
        <f>HYPERLINK("http://141.218.60.56/~jnz1568/getInfo.php?workbook=14_06.xlsx&amp;sheet=U0&amp;row=1227&amp;col=7&amp;number=0.00125&amp;sourceID=14","0.00125")</f>
        <v>0.00125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HYPERLINK("http://141.218.60.56/~jnz1568/getInfo.php?workbook=14_06.xlsx&amp;sheet=U0&amp;row=1228&amp;col=6&amp;number=3.4&amp;sourceID=14","3.4")</f>
        <v>3.4</v>
      </c>
      <c r="G1228" s="4" t="str">
        <f>HYPERLINK("http://141.218.60.56/~jnz1568/getInfo.php?workbook=14_06.xlsx&amp;sheet=U0&amp;row=1228&amp;col=7&amp;number=0.00125&amp;sourceID=14","0.00125")</f>
        <v>0.00125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HYPERLINK("http://141.218.60.56/~jnz1568/getInfo.php?workbook=14_06.xlsx&amp;sheet=U0&amp;row=1229&amp;col=6&amp;number=3.5&amp;sourceID=14","3.5")</f>
        <v>3.5</v>
      </c>
      <c r="G1229" s="4" t="str">
        <f>HYPERLINK("http://141.218.60.56/~jnz1568/getInfo.php?workbook=14_06.xlsx&amp;sheet=U0&amp;row=1229&amp;col=7&amp;number=0.00125&amp;sourceID=14","0.00125")</f>
        <v>0.00125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HYPERLINK("http://141.218.60.56/~jnz1568/getInfo.php?workbook=14_06.xlsx&amp;sheet=U0&amp;row=1230&amp;col=6&amp;number=3.6&amp;sourceID=14","3.6")</f>
        <v>3.6</v>
      </c>
      <c r="G1230" s="4" t="str">
        <f>HYPERLINK("http://141.218.60.56/~jnz1568/getInfo.php?workbook=14_06.xlsx&amp;sheet=U0&amp;row=1230&amp;col=7&amp;number=0.00125&amp;sourceID=14","0.00125")</f>
        <v>0.00125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HYPERLINK("http://141.218.60.56/~jnz1568/getInfo.php?workbook=14_06.xlsx&amp;sheet=U0&amp;row=1231&amp;col=6&amp;number=3.7&amp;sourceID=14","3.7")</f>
        <v>3.7</v>
      </c>
      <c r="G1231" s="4" t="str">
        <f>HYPERLINK("http://141.218.60.56/~jnz1568/getInfo.php?workbook=14_06.xlsx&amp;sheet=U0&amp;row=1231&amp;col=7&amp;number=0.00125&amp;sourceID=14","0.00125")</f>
        <v>0.00125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HYPERLINK("http://141.218.60.56/~jnz1568/getInfo.php?workbook=14_06.xlsx&amp;sheet=U0&amp;row=1232&amp;col=6&amp;number=3.8&amp;sourceID=14","3.8")</f>
        <v>3.8</v>
      </c>
      <c r="G1232" s="4" t="str">
        <f>HYPERLINK("http://141.218.60.56/~jnz1568/getInfo.php?workbook=14_06.xlsx&amp;sheet=U0&amp;row=1232&amp;col=7&amp;number=0.00125&amp;sourceID=14","0.00125")</f>
        <v>0.00125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HYPERLINK("http://141.218.60.56/~jnz1568/getInfo.php?workbook=14_06.xlsx&amp;sheet=U0&amp;row=1233&amp;col=6&amp;number=3.9&amp;sourceID=14","3.9")</f>
        <v>3.9</v>
      </c>
      <c r="G1233" s="4" t="str">
        <f>HYPERLINK("http://141.218.60.56/~jnz1568/getInfo.php?workbook=14_06.xlsx&amp;sheet=U0&amp;row=1233&amp;col=7&amp;number=0.00125&amp;sourceID=14","0.00125")</f>
        <v>0.00125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HYPERLINK("http://141.218.60.56/~jnz1568/getInfo.php?workbook=14_06.xlsx&amp;sheet=U0&amp;row=1234&amp;col=6&amp;number=4&amp;sourceID=14","4")</f>
        <v>4</v>
      </c>
      <c r="G1234" s="4" t="str">
        <f>HYPERLINK("http://141.218.60.56/~jnz1568/getInfo.php?workbook=14_06.xlsx&amp;sheet=U0&amp;row=1234&amp;col=7&amp;number=0.00125&amp;sourceID=14","0.00125")</f>
        <v>0.00125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HYPERLINK("http://141.218.60.56/~jnz1568/getInfo.php?workbook=14_06.xlsx&amp;sheet=U0&amp;row=1235&amp;col=6&amp;number=4.1&amp;sourceID=14","4.1")</f>
        <v>4.1</v>
      </c>
      <c r="G1235" s="4" t="str">
        <f>HYPERLINK("http://141.218.60.56/~jnz1568/getInfo.php?workbook=14_06.xlsx&amp;sheet=U0&amp;row=1235&amp;col=7&amp;number=0.00125&amp;sourceID=14","0.00125")</f>
        <v>0.00125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HYPERLINK("http://141.218.60.56/~jnz1568/getInfo.php?workbook=14_06.xlsx&amp;sheet=U0&amp;row=1236&amp;col=6&amp;number=4.2&amp;sourceID=14","4.2")</f>
        <v>4.2</v>
      </c>
      <c r="G1236" s="4" t="str">
        <f>HYPERLINK("http://141.218.60.56/~jnz1568/getInfo.php?workbook=14_06.xlsx&amp;sheet=U0&amp;row=1236&amp;col=7&amp;number=0.00125&amp;sourceID=14","0.00125")</f>
        <v>0.00125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HYPERLINK("http://141.218.60.56/~jnz1568/getInfo.php?workbook=14_06.xlsx&amp;sheet=U0&amp;row=1237&amp;col=6&amp;number=4.3&amp;sourceID=14","4.3")</f>
        <v>4.3</v>
      </c>
      <c r="G1237" s="4" t="str">
        <f>HYPERLINK("http://141.218.60.56/~jnz1568/getInfo.php?workbook=14_06.xlsx&amp;sheet=U0&amp;row=1237&amp;col=7&amp;number=0.00125&amp;sourceID=14","0.00125")</f>
        <v>0.00125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HYPERLINK("http://141.218.60.56/~jnz1568/getInfo.php?workbook=14_06.xlsx&amp;sheet=U0&amp;row=1238&amp;col=6&amp;number=4.4&amp;sourceID=14","4.4")</f>
        <v>4.4</v>
      </c>
      <c r="G1238" s="4" t="str">
        <f>HYPERLINK("http://141.218.60.56/~jnz1568/getInfo.php?workbook=14_06.xlsx&amp;sheet=U0&amp;row=1238&amp;col=7&amp;number=0.00124&amp;sourceID=14","0.00124")</f>
        <v>0.00124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HYPERLINK("http://141.218.60.56/~jnz1568/getInfo.php?workbook=14_06.xlsx&amp;sheet=U0&amp;row=1239&amp;col=6&amp;number=4.5&amp;sourceID=14","4.5")</f>
        <v>4.5</v>
      </c>
      <c r="G1239" s="4" t="str">
        <f>HYPERLINK("http://141.218.60.56/~jnz1568/getInfo.php?workbook=14_06.xlsx&amp;sheet=U0&amp;row=1239&amp;col=7&amp;number=0.00124&amp;sourceID=14","0.00124")</f>
        <v>0.00124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HYPERLINK("http://141.218.60.56/~jnz1568/getInfo.php?workbook=14_06.xlsx&amp;sheet=U0&amp;row=1240&amp;col=6&amp;number=4.6&amp;sourceID=14","4.6")</f>
        <v>4.6</v>
      </c>
      <c r="G1240" s="4" t="str">
        <f>HYPERLINK("http://141.218.60.56/~jnz1568/getInfo.php?workbook=14_06.xlsx&amp;sheet=U0&amp;row=1240&amp;col=7&amp;number=0.00124&amp;sourceID=14","0.00124")</f>
        <v>0.00124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HYPERLINK("http://141.218.60.56/~jnz1568/getInfo.php?workbook=14_06.xlsx&amp;sheet=U0&amp;row=1241&amp;col=6&amp;number=4.7&amp;sourceID=14","4.7")</f>
        <v>4.7</v>
      </c>
      <c r="G1241" s="4" t="str">
        <f>HYPERLINK("http://141.218.60.56/~jnz1568/getInfo.php?workbook=14_06.xlsx&amp;sheet=U0&amp;row=1241&amp;col=7&amp;number=0.00123&amp;sourceID=14","0.00123")</f>
        <v>0.00123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HYPERLINK("http://141.218.60.56/~jnz1568/getInfo.php?workbook=14_06.xlsx&amp;sheet=U0&amp;row=1242&amp;col=6&amp;number=4.8&amp;sourceID=14","4.8")</f>
        <v>4.8</v>
      </c>
      <c r="G1242" s="4" t="str">
        <f>HYPERLINK("http://141.218.60.56/~jnz1568/getInfo.php?workbook=14_06.xlsx&amp;sheet=U0&amp;row=1242&amp;col=7&amp;number=0.00123&amp;sourceID=14","0.00123")</f>
        <v>0.00123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HYPERLINK("http://141.218.60.56/~jnz1568/getInfo.php?workbook=14_06.xlsx&amp;sheet=U0&amp;row=1243&amp;col=6&amp;number=4.9&amp;sourceID=14","4.9")</f>
        <v>4.9</v>
      </c>
      <c r="G1243" s="4" t="str">
        <f>HYPERLINK("http://141.218.60.56/~jnz1568/getInfo.php?workbook=14_06.xlsx&amp;sheet=U0&amp;row=1243&amp;col=7&amp;number=0.00122&amp;sourceID=14","0.00122")</f>
        <v>0.00122</v>
      </c>
    </row>
    <row r="1244" spans="1:7">
      <c r="A1244" s="3">
        <v>14</v>
      </c>
      <c r="B1244" s="3">
        <v>6</v>
      </c>
      <c r="C1244" s="3">
        <v>2</v>
      </c>
      <c r="D1244" s="3">
        <v>20</v>
      </c>
      <c r="E1244" s="3">
        <v>1</v>
      </c>
      <c r="F1244" s="4" t="str">
        <f>HYPERLINK("http://141.218.60.56/~jnz1568/getInfo.php?workbook=14_06.xlsx&amp;sheet=U0&amp;row=1244&amp;col=6&amp;number=3&amp;sourceID=14","3")</f>
        <v>3</v>
      </c>
      <c r="G1244" s="4" t="str">
        <f>HYPERLINK("http://141.218.60.56/~jnz1568/getInfo.php?workbook=14_06.xlsx&amp;sheet=U0&amp;row=1244&amp;col=7&amp;number=0.000195&amp;sourceID=14","0.000195")</f>
        <v>0.000195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HYPERLINK("http://141.218.60.56/~jnz1568/getInfo.php?workbook=14_06.xlsx&amp;sheet=U0&amp;row=1245&amp;col=6&amp;number=3.1&amp;sourceID=14","3.1")</f>
        <v>3.1</v>
      </c>
      <c r="G1245" s="4" t="str">
        <f>HYPERLINK("http://141.218.60.56/~jnz1568/getInfo.php?workbook=14_06.xlsx&amp;sheet=U0&amp;row=1245&amp;col=7&amp;number=0.000195&amp;sourceID=14","0.000195")</f>
        <v>0.000195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HYPERLINK("http://141.218.60.56/~jnz1568/getInfo.php?workbook=14_06.xlsx&amp;sheet=U0&amp;row=1246&amp;col=6&amp;number=3.2&amp;sourceID=14","3.2")</f>
        <v>3.2</v>
      </c>
      <c r="G1246" s="4" t="str">
        <f>HYPERLINK("http://141.218.60.56/~jnz1568/getInfo.php?workbook=14_06.xlsx&amp;sheet=U0&amp;row=1246&amp;col=7&amp;number=0.000195&amp;sourceID=14","0.000195")</f>
        <v>0.000195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HYPERLINK("http://141.218.60.56/~jnz1568/getInfo.php?workbook=14_06.xlsx&amp;sheet=U0&amp;row=1247&amp;col=6&amp;number=3.3&amp;sourceID=14","3.3")</f>
        <v>3.3</v>
      </c>
      <c r="G1247" s="4" t="str">
        <f>HYPERLINK("http://141.218.60.56/~jnz1568/getInfo.php?workbook=14_06.xlsx&amp;sheet=U0&amp;row=1247&amp;col=7&amp;number=0.000195&amp;sourceID=14","0.000195")</f>
        <v>0.000195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HYPERLINK("http://141.218.60.56/~jnz1568/getInfo.php?workbook=14_06.xlsx&amp;sheet=U0&amp;row=1248&amp;col=6&amp;number=3.4&amp;sourceID=14","3.4")</f>
        <v>3.4</v>
      </c>
      <c r="G1248" s="4" t="str">
        <f>HYPERLINK("http://141.218.60.56/~jnz1568/getInfo.php?workbook=14_06.xlsx&amp;sheet=U0&amp;row=1248&amp;col=7&amp;number=0.000195&amp;sourceID=14","0.000195")</f>
        <v>0.000195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HYPERLINK("http://141.218.60.56/~jnz1568/getInfo.php?workbook=14_06.xlsx&amp;sheet=U0&amp;row=1249&amp;col=6&amp;number=3.5&amp;sourceID=14","3.5")</f>
        <v>3.5</v>
      </c>
      <c r="G1249" s="4" t="str">
        <f>HYPERLINK("http://141.218.60.56/~jnz1568/getInfo.php?workbook=14_06.xlsx&amp;sheet=U0&amp;row=1249&amp;col=7&amp;number=0.000195&amp;sourceID=14","0.000195")</f>
        <v>0.000195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HYPERLINK("http://141.218.60.56/~jnz1568/getInfo.php?workbook=14_06.xlsx&amp;sheet=U0&amp;row=1250&amp;col=6&amp;number=3.6&amp;sourceID=14","3.6")</f>
        <v>3.6</v>
      </c>
      <c r="G1250" s="4" t="str">
        <f>HYPERLINK("http://141.218.60.56/~jnz1568/getInfo.php?workbook=14_06.xlsx&amp;sheet=U0&amp;row=1250&amp;col=7&amp;number=0.000195&amp;sourceID=14","0.000195")</f>
        <v>0.000195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HYPERLINK("http://141.218.60.56/~jnz1568/getInfo.php?workbook=14_06.xlsx&amp;sheet=U0&amp;row=1251&amp;col=6&amp;number=3.7&amp;sourceID=14","3.7")</f>
        <v>3.7</v>
      </c>
      <c r="G1251" s="4" t="str">
        <f>HYPERLINK("http://141.218.60.56/~jnz1568/getInfo.php?workbook=14_06.xlsx&amp;sheet=U0&amp;row=1251&amp;col=7&amp;number=0.000195&amp;sourceID=14","0.000195")</f>
        <v>0.000195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HYPERLINK("http://141.218.60.56/~jnz1568/getInfo.php?workbook=14_06.xlsx&amp;sheet=U0&amp;row=1252&amp;col=6&amp;number=3.8&amp;sourceID=14","3.8")</f>
        <v>3.8</v>
      </c>
      <c r="G1252" s="4" t="str">
        <f>HYPERLINK("http://141.218.60.56/~jnz1568/getInfo.php?workbook=14_06.xlsx&amp;sheet=U0&amp;row=1252&amp;col=7&amp;number=0.000195&amp;sourceID=14","0.000195")</f>
        <v>0.000195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HYPERLINK("http://141.218.60.56/~jnz1568/getInfo.php?workbook=14_06.xlsx&amp;sheet=U0&amp;row=1253&amp;col=6&amp;number=3.9&amp;sourceID=14","3.9")</f>
        <v>3.9</v>
      </c>
      <c r="G1253" s="4" t="str">
        <f>HYPERLINK("http://141.218.60.56/~jnz1568/getInfo.php?workbook=14_06.xlsx&amp;sheet=U0&amp;row=1253&amp;col=7&amp;number=0.000195&amp;sourceID=14","0.000195")</f>
        <v>0.000195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HYPERLINK("http://141.218.60.56/~jnz1568/getInfo.php?workbook=14_06.xlsx&amp;sheet=U0&amp;row=1254&amp;col=6&amp;number=4&amp;sourceID=14","4")</f>
        <v>4</v>
      </c>
      <c r="G1254" s="4" t="str">
        <f>HYPERLINK("http://141.218.60.56/~jnz1568/getInfo.php?workbook=14_06.xlsx&amp;sheet=U0&amp;row=1254&amp;col=7&amp;number=0.000195&amp;sourceID=14","0.000195")</f>
        <v>0.000195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HYPERLINK("http://141.218.60.56/~jnz1568/getInfo.php?workbook=14_06.xlsx&amp;sheet=U0&amp;row=1255&amp;col=6&amp;number=4.1&amp;sourceID=14","4.1")</f>
        <v>4.1</v>
      </c>
      <c r="G1255" s="4" t="str">
        <f>HYPERLINK("http://141.218.60.56/~jnz1568/getInfo.php?workbook=14_06.xlsx&amp;sheet=U0&amp;row=1255&amp;col=7&amp;number=0.000195&amp;sourceID=14","0.000195")</f>
        <v>0.000195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HYPERLINK("http://141.218.60.56/~jnz1568/getInfo.php?workbook=14_06.xlsx&amp;sheet=U0&amp;row=1256&amp;col=6&amp;number=4.2&amp;sourceID=14","4.2")</f>
        <v>4.2</v>
      </c>
      <c r="G1256" s="4" t="str">
        <f>HYPERLINK("http://141.218.60.56/~jnz1568/getInfo.php?workbook=14_06.xlsx&amp;sheet=U0&amp;row=1256&amp;col=7&amp;number=0.000195&amp;sourceID=14","0.000195")</f>
        <v>0.000195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HYPERLINK("http://141.218.60.56/~jnz1568/getInfo.php?workbook=14_06.xlsx&amp;sheet=U0&amp;row=1257&amp;col=6&amp;number=4.3&amp;sourceID=14","4.3")</f>
        <v>4.3</v>
      </c>
      <c r="G1257" s="4" t="str">
        <f>HYPERLINK("http://141.218.60.56/~jnz1568/getInfo.php?workbook=14_06.xlsx&amp;sheet=U0&amp;row=1257&amp;col=7&amp;number=0.000194&amp;sourceID=14","0.000194")</f>
        <v>0.000194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HYPERLINK("http://141.218.60.56/~jnz1568/getInfo.php?workbook=14_06.xlsx&amp;sheet=U0&amp;row=1258&amp;col=6&amp;number=4.4&amp;sourceID=14","4.4")</f>
        <v>4.4</v>
      </c>
      <c r="G1258" s="4" t="str">
        <f>HYPERLINK("http://141.218.60.56/~jnz1568/getInfo.php?workbook=14_06.xlsx&amp;sheet=U0&amp;row=1258&amp;col=7&amp;number=0.000194&amp;sourceID=14","0.000194")</f>
        <v>0.000194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HYPERLINK("http://141.218.60.56/~jnz1568/getInfo.php?workbook=14_06.xlsx&amp;sheet=U0&amp;row=1259&amp;col=6&amp;number=4.5&amp;sourceID=14","4.5")</f>
        <v>4.5</v>
      </c>
      <c r="G1259" s="4" t="str">
        <f>HYPERLINK("http://141.218.60.56/~jnz1568/getInfo.php?workbook=14_06.xlsx&amp;sheet=U0&amp;row=1259&amp;col=7&amp;number=0.000194&amp;sourceID=14","0.000194")</f>
        <v>0.000194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HYPERLINK("http://141.218.60.56/~jnz1568/getInfo.php?workbook=14_06.xlsx&amp;sheet=U0&amp;row=1260&amp;col=6&amp;number=4.6&amp;sourceID=14","4.6")</f>
        <v>4.6</v>
      </c>
      <c r="G1260" s="4" t="str">
        <f>HYPERLINK("http://141.218.60.56/~jnz1568/getInfo.php?workbook=14_06.xlsx&amp;sheet=U0&amp;row=1260&amp;col=7&amp;number=0.000193&amp;sourceID=14","0.000193")</f>
        <v>0.000193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HYPERLINK("http://141.218.60.56/~jnz1568/getInfo.php?workbook=14_06.xlsx&amp;sheet=U0&amp;row=1261&amp;col=6&amp;number=4.7&amp;sourceID=14","4.7")</f>
        <v>4.7</v>
      </c>
      <c r="G1261" s="4" t="str">
        <f>HYPERLINK("http://141.218.60.56/~jnz1568/getInfo.php?workbook=14_06.xlsx&amp;sheet=U0&amp;row=1261&amp;col=7&amp;number=0.000193&amp;sourceID=14","0.000193")</f>
        <v>0.000193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HYPERLINK("http://141.218.60.56/~jnz1568/getInfo.php?workbook=14_06.xlsx&amp;sheet=U0&amp;row=1262&amp;col=6&amp;number=4.8&amp;sourceID=14","4.8")</f>
        <v>4.8</v>
      </c>
      <c r="G1262" s="4" t="str">
        <f>HYPERLINK("http://141.218.60.56/~jnz1568/getInfo.php?workbook=14_06.xlsx&amp;sheet=U0&amp;row=1262&amp;col=7&amp;number=0.000192&amp;sourceID=14","0.000192")</f>
        <v>0.000192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HYPERLINK("http://141.218.60.56/~jnz1568/getInfo.php?workbook=14_06.xlsx&amp;sheet=U0&amp;row=1263&amp;col=6&amp;number=4.9&amp;sourceID=14","4.9")</f>
        <v>4.9</v>
      </c>
      <c r="G1263" s="4" t="str">
        <f>HYPERLINK("http://141.218.60.56/~jnz1568/getInfo.php?workbook=14_06.xlsx&amp;sheet=U0&amp;row=1263&amp;col=7&amp;number=0.000191&amp;sourceID=14","0.000191")</f>
        <v>0.000191</v>
      </c>
    </row>
    <row r="1264" spans="1:7">
      <c r="A1264" s="3">
        <v>14</v>
      </c>
      <c r="B1264" s="3">
        <v>6</v>
      </c>
      <c r="C1264" s="3">
        <v>2</v>
      </c>
      <c r="D1264" s="3">
        <v>21</v>
      </c>
      <c r="E1264" s="3">
        <v>1</v>
      </c>
      <c r="F1264" s="4" t="str">
        <f>HYPERLINK("http://141.218.60.56/~jnz1568/getInfo.php?workbook=14_06.xlsx&amp;sheet=U0&amp;row=1264&amp;col=6&amp;number=3&amp;sourceID=14","3")</f>
        <v>3</v>
      </c>
      <c r="G1264" s="4" t="str">
        <f>HYPERLINK("http://141.218.60.56/~jnz1568/getInfo.php?workbook=14_06.xlsx&amp;sheet=U0&amp;row=1264&amp;col=7&amp;number=0.00108&amp;sourceID=14","0.00108")</f>
        <v>0.00108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HYPERLINK("http://141.218.60.56/~jnz1568/getInfo.php?workbook=14_06.xlsx&amp;sheet=U0&amp;row=1265&amp;col=6&amp;number=3.1&amp;sourceID=14","3.1")</f>
        <v>3.1</v>
      </c>
      <c r="G1265" s="4" t="str">
        <f>HYPERLINK("http://141.218.60.56/~jnz1568/getInfo.php?workbook=14_06.xlsx&amp;sheet=U0&amp;row=1265&amp;col=7&amp;number=0.00108&amp;sourceID=14","0.00108")</f>
        <v>0.00108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HYPERLINK("http://141.218.60.56/~jnz1568/getInfo.php?workbook=14_06.xlsx&amp;sheet=U0&amp;row=1266&amp;col=6&amp;number=3.2&amp;sourceID=14","3.2")</f>
        <v>3.2</v>
      </c>
      <c r="G1266" s="4" t="str">
        <f>HYPERLINK("http://141.218.60.56/~jnz1568/getInfo.php?workbook=14_06.xlsx&amp;sheet=U0&amp;row=1266&amp;col=7&amp;number=0.00108&amp;sourceID=14","0.00108")</f>
        <v>0.00108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HYPERLINK("http://141.218.60.56/~jnz1568/getInfo.php?workbook=14_06.xlsx&amp;sheet=U0&amp;row=1267&amp;col=6&amp;number=3.3&amp;sourceID=14","3.3")</f>
        <v>3.3</v>
      </c>
      <c r="G1267" s="4" t="str">
        <f>HYPERLINK("http://141.218.60.56/~jnz1568/getInfo.php?workbook=14_06.xlsx&amp;sheet=U0&amp;row=1267&amp;col=7&amp;number=0.00108&amp;sourceID=14","0.00108")</f>
        <v>0.00108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HYPERLINK("http://141.218.60.56/~jnz1568/getInfo.php?workbook=14_06.xlsx&amp;sheet=U0&amp;row=1268&amp;col=6&amp;number=3.4&amp;sourceID=14","3.4")</f>
        <v>3.4</v>
      </c>
      <c r="G1268" s="4" t="str">
        <f>HYPERLINK("http://141.218.60.56/~jnz1568/getInfo.php?workbook=14_06.xlsx&amp;sheet=U0&amp;row=1268&amp;col=7&amp;number=0.00108&amp;sourceID=14","0.00108")</f>
        <v>0.00108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HYPERLINK("http://141.218.60.56/~jnz1568/getInfo.php?workbook=14_06.xlsx&amp;sheet=U0&amp;row=1269&amp;col=6&amp;number=3.5&amp;sourceID=14","3.5")</f>
        <v>3.5</v>
      </c>
      <c r="G1269" s="4" t="str">
        <f>HYPERLINK("http://141.218.60.56/~jnz1568/getInfo.php?workbook=14_06.xlsx&amp;sheet=U0&amp;row=1269&amp;col=7&amp;number=0.00109&amp;sourceID=14","0.00109")</f>
        <v>0.00109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HYPERLINK("http://141.218.60.56/~jnz1568/getInfo.php?workbook=14_06.xlsx&amp;sheet=U0&amp;row=1270&amp;col=6&amp;number=3.6&amp;sourceID=14","3.6")</f>
        <v>3.6</v>
      </c>
      <c r="G1270" s="4" t="str">
        <f>HYPERLINK("http://141.218.60.56/~jnz1568/getInfo.php?workbook=14_06.xlsx&amp;sheet=U0&amp;row=1270&amp;col=7&amp;number=0.00109&amp;sourceID=14","0.00109")</f>
        <v>0.00109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HYPERLINK("http://141.218.60.56/~jnz1568/getInfo.php?workbook=14_06.xlsx&amp;sheet=U0&amp;row=1271&amp;col=6&amp;number=3.7&amp;sourceID=14","3.7")</f>
        <v>3.7</v>
      </c>
      <c r="G1271" s="4" t="str">
        <f>HYPERLINK("http://141.218.60.56/~jnz1568/getInfo.php?workbook=14_06.xlsx&amp;sheet=U0&amp;row=1271&amp;col=7&amp;number=0.00109&amp;sourceID=14","0.00109")</f>
        <v>0.00109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HYPERLINK("http://141.218.60.56/~jnz1568/getInfo.php?workbook=14_06.xlsx&amp;sheet=U0&amp;row=1272&amp;col=6&amp;number=3.8&amp;sourceID=14","3.8")</f>
        <v>3.8</v>
      </c>
      <c r="G1272" s="4" t="str">
        <f>HYPERLINK("http://141.218.60.56/~jnz1568/getInfo.php?workbook=14_06.xlsx&amp;sheet=U0&amp;row=1272&amp;col=7&amp;number=0.0011&amp;sourceID=14","0.0011")</f>
        <v>0.0011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HYPERLINK("http://141.218.60.56/~jnz1568/getInfo.php?workbook=14_06.xlsx&amp;sheet=U0&amp;row=1273&amp;col=6&amp;number=3.9&amp;sourceID=14","3.9")</f>
        <v>3.9</v>
      </c>
      <c r="G1273" s="4" t="str">
        <f>HYPERLINK("http://141.218.60.56/~jnz1568/getInfo.php?workbook=14_06.xlsx&amp;sheet=U0&amp;row=1273&amp;col=7&amp;number=0.0011&amp;sourceID=14","0.0011")</f>
        <v>0.0011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HYPERLINK("http://141.218.60.56/~jnz1568/getInfo.php?workbook=14_06.xlsx&amp;sheet=U0&amp;row=1274&amp;col=6&amp;number=4&amp;sourceID=14","4")</f>
        <v>4</v>
      </c>
      <c r="G1274" s="4" t="str">
        <f>HYPERLINK("http://141.218.60.56/~jnz1568/getInfo.php?workbook=14_06.xlsx&amp;sheet=U0&amp;row=1274&amp;col=7&amp;number=0.00111&amp;sourceID=14","0.00111")</f>
        <v>0.00111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HYPERLINK("http://141.218.60.56/~jnz1568/getInfo.php?workbook=14_06.xlsx&amp;sheet=U0&amp;row=1275&amp;col=6&amp;number=4.1&amp;sourceID=14","4.1")</f>
        <v>4.1</v>
      </c>
      <c r="G1275" s="4" t="str">
        <f>HYPERLINK("http://141.218.60.56/~jnz1568/getInfo.php?workbook=14_06.xlsx&amp;sheet=U0&amp;row=1275&amp;col=7&amp;number=0.00112&amp;sourceID=14","0.00112")</f>
        <v>0.00112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HYPERLINK("http://141.218.60.56/~jnz1568/getInfo.php?workbook=14_06.xlsx&amp;sheet=U0&amp;row=1276&amp;col=6&amp;number=4.2&amp;sourceID=14","4.2")</f>
        <v>4.2</v>
      </c>
      <c r="G1276" s="4" t="str">
        <f>HYPERLINK("http://141.218.60.56/~jnz1568/getInfo.php?workbook=14_06.xlsx&amp;sheet=U0&amp;row=1276&amp;col=7&amp;number=0.00113&amp;sourceID=14","0.00113")</f>
        <v>0.00113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HYPERLINK("http://141.218.60.56/~jnz1568/getInfo.php?workbook=14_06.xlsx&amp;sheet=U0&amp;row=1277&amp;col=6&amp;number=4.3&amp;sourceID=14","4.3")</f>
        <v>4.3</v>
      </c>
      <c r="G1277" s="4" t="str">
        <f>HYPERLINK("http://141.218.60.56/~jnz1568/getInfo.php?workbook=14_06.xlsx&amp;sheet=U0&amp;row=1277&amp;col=7&amp;number=0.00114&amp;sourceID=14","0.00114")</f>
        <v>0.00114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HYPERLINK("http://141.218.60.56/~jnz1568/getInfo.php?workbook=14_06.xlsx&amp;sheet=U0&amp;row=1278&amp;col=6&amp;number=4.4&amp;sourceID=14","4.4")</f>
        <v>4.4</v>
      </c>
      <c r="G1278" s="4" t="str">
        <f>HYPERLINK("http://141.218.60.56/~jnz1568/getInfo.php?workbook=14_06.xlsx&amp;sheet=U0&amp;row=1278&amp;col=7&amp;number=0.00116&amp;sourceID=14","0.00116")</f>
        <v>0.00116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HYPERLINK("http://141.218.60.56/~jnz1568/getInfo.php?workbook=14_06.xlsx&amp;sheet=U0&amp;row=1279&amp;col=6&amp;number=4.5&amp;sourceID=14","4.5")</f>
        <v>4.5</v>
      </c>
      <c r="G1279" s="4" t="str">
        <f>HYPERLINK("http://141.218.60.56/~jnz1568/getInfo.php?workbook=14_06.xlsx&amp;sheet=U0&amp;row=1279&amp;col=7&amp;number=0.00118&amp;sourceID=14","0.00118")</f>
        <v>0.00118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HYPERLINK("http://141.218.60.56/~jnz1568/getInfo.php?workbook=14_06.xlsx&amp;sheet=U0&amp;row=1280&amp;col=6&amp;number=4.6&amp;sourceID=14","4.6")</f>
        <v>4.6</v>
      </c>
      <c r="G1280" s="4" t="str">
        <f>HYPERLINK("http://141.218.60.56/~jnz1568/getInfo.php?workbook=14_06.xlsx&amp;sheet=U0&amp;row=1280&amp;col=7&amp;number=0.0012&amp;sourceID=14","0.0012")</f>
        <v>0.0012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HYPERLINK("http://141.218.60.56/~jnz1568/getInfo.php?workbook=14_06.xlsx&amp;sheet=U0&amp;row=1281&amp;col=6&amp;number=4.7&amp;sourceID=14","4.7")</f>
        <v>4.7</v>
      </c>
      <c r="G1281" s="4" t="str">
        <f>HYPERLINK("http://141.218.60.56/~jnz1568/getInfo.php?workbook=14_06.xlsx&amp;sheet=U0&amp;row=1281&amp;col=7&amp;number=0.00124&amp;sourceID=14","0.00124")</f>
        <v>0.00124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HYPERLINK("http://141.218.60.56/~jnz1568/getInfo.php?workbook=14_06.xlsx&amp;sheet=U0&amp;row=1282&amp;col=6&amp;number=4.8&amp;sourceID=14","4.8")</f>
        <v>4.8</v>
      </c>
      <c r="G1282" s="4" t="str">
        <f>HYPERLINK("http://141.218.60.56/~jnz1568/getInfo.php?workbook=14_06.xlsx&amp;sheet=U0&amp;row=1282&amp;col=7&amp;number=0.00128&amp;sourceID=14","0.00128")</f>
        <v>0.00128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HYPERLINK("http://141.218.60.56/~jnz1568/getInfo.php?workbook=14_06.xlsx&amp;sheet=U0&amp;row=1283&amp;col=6&amp;number=4.9&amp;sourceID=14","4.9")</f>
        <v>4.9</v>
      </c>
      <c r="G1283" s="4" t="str">
        <f>HYPERLINK("http://141.218.60.56/~jnz1568/getInfo.php?workbook=14_06.xlsx&amp;sheet=U0&amp;row=1283&amp;col=7&amp;number=0.00133&amp;sourceID=14","0.00133")</f>
        <v>0.00133</v>
      </c>
    </row>
    <row r="1284" spans="1:7">
      <c r="A1284" s="3">
        <v>14</v>
      </c>
      <c r="B1284" s="3">
        <v>6</v>
      </c>
      <c r="C1284" s="3">
        <v>2</v>
      </c>
      <c r="D1284" s="3">
        <v>22</v>
      </c>
      <c r="E1284" s="3">
        <v>1</v>
      </c>
      <c r="F1284" s="4" t="str">
        <f>HYPERLINK("http://141.218.60.56/~jnz1568/getInfo.php?workbook=14_06.xlsx&amp;sheet=U0&amp;row=1284&amp;col=6&amp;number=3&amp;sourceID=14","3")</f>
        <v>3</v>
      </c>
      <c r="G1284" s="4" t="str">
        <f>HYPERLINK("http://141.218.60.56/~jnz1568/getInfo.php?workbook=14_06.xlsx&amp;sheet=U0&amp;row=1284&amp;col=7&amp;number=0.00516&amp;sourceID=14","0.00516")</f>
        <v>0.00516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HYPERLINK("http://141.218.60.56/~jnz1568/getInfo.php?workbook=14_06.xlsx&amp;sheet=U0&amp;row=1285&amp;col=6&amp;number=3.1&amp;sourceID=14","3.1")</f>
        <v>3.1</v>
      </c>
      <c r="G1285" s="4" t="str">
        <f>HYPERLINK("http://141.218.60.56/~jnz1568/getInfo.php?workbook=14_06.xlsx&amp;sheet=U0&amp;row=1285&amp;col=7&amp;number=0.00516&amp;sourceID=14","0.00516")</f>
        <v>0.00516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HYPERLINK("http://141.218.60.56/~jnz1568/getInfo.php?workbook=14_06.xlsx&amp;sheet=U0&amp;row=1286&amp;col=6&amp;number=3.2&amp;sourceID=14","3.2")</f>
        <v>3.2</v>
      </c>
      <c r="G1286" s="4" t="str">
        <f>HYPERLINK("http://141.218.60.56/~jnz1568/getInfo.php?workbook=14_06.xlsx&amp;sheet=U0&amp;row=1286&amp;col=7&amp;number=0.00516&amp;sourceID=14","0.00516")</f>
        <v>0.00516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HYPERLINK("http://141.218.60.56/~jnz1568/getInfo.php?workbook=14_06.xlsx&amp;sheet=U0&amp;row=1287&amp;col=6&amp;number=3.3&amp;sourceID=14","3.3")</f>
        <v>3.3</v>
      </c>
      <c r="G1287" s="4" t="str">
        <f>HYPERLINK("http://141.218.60.56/~jnz1568/getInfo.php?workbook=14_06.xlsx&amp;sheet=U0&amp;row=1287&amp;col=7&amp;number=0.00516&amp;sourceID=14","0.00516")</f>
        <v>0.00516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HYPERLINK("http://141.218.60.56/~jnz1568/getInfo.php?workbook=14_06.xlsx&amp;sheet=U0&amp;row=1288&amp;col=6&amp;number=3.4&amp;sourceID=14","3.4")</f>
        <v>3.4</v>
      </c>
      <c r="G1288" s="4" t="str">
        <f>HYPERLINK("http://141.218.60.56/~jnz1568/getInfo.php?workbook=14_06.xlsx&amp;sheet=U0&amp;row=1288&amp;col=7&amp;number=0.00516&amp;sourceID=14","0.00516")</f>
        <v>0.00516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HYPERLINK("http://141.218.60.56/~jnz1568/getInfo.php?workbook=14_06.xlsx&amp;sheet=U0&amp;row=1289&amp;col=6&amp;number=3.5&amp;sourceID=14","3.5")</f>
        <v>3.5</v>
      </c>
      <c r="G1289" s="4" t="str">
        <f>HYPERLINK("http://141.218.60.56/~jnz1568/getInfo.php?workbook=14_06.xlsx&amp;sheet=U0&amp;row=1289&amp;col=7&amp;number=0.00516&amp;sourceID=14","0.00516")</f>
        <v>0.00516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HYPERLINK("http://141.218.60.56/~jnz1568/getInfo.php?workbook=14_06.xlsx&amp;sheet=U0&amp;row=1290&amp;col=6&amp;number=3.6&amp;sourceID=14","3.6")</f>
        <v>3.6</v>
      </c>
      <c r="G1290" s="4" t="str">
        <f>HYPERLINK("http://141.218.60.56/~jnz1568/getInfo.php?workbook=14_06.xlsx&amp;sheet=U0&amp;row=1290&amp;col=7&amp;number=0.00516&amp;sourceID=14","0.00516")</f>
        <v>0.00516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HYPERLINK("http://141.218.60.56/~jnz1568/getInfo.php?workbook=14_06.xlsx&amp;sheet=U0&amp;row=1291&amp;col=6&amp;number=3.7&amp;sourceID=14","3.7")</f>
        <v>3.7</v>
      </c>
      <c r="G1291" s="4" t="str">
        <f>HYPERLINK("http://141.218.60.56/~jnz1568/getInfo.php?workbook=14_06.xlsx&amp;sheet=U0&amp;row=1291&amp;col=7&amp;number=0.00516&amp;sourceID=14","0.00516")</f>
        <v>0.00516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HYPERLINK("http://141.218.60.56/~jnz1568/getInfo.php?workbook=14_06.xlsx&amp;sheet=U0&amp;row=1292&amp;col=6&amp;number=3.8&amp;sourceID=14","3.8")</f>
        <v>3.8</v>
      </c>
      <c r="G1292" s="4" t="str">
        <f>HYPERLINK("http://141.218.60.56/~jnz1568/getInfo.php?workbook=14_06.xlsx&amp;sheet=U0&amp;row=1292&amp;col=7&amp;number=0.00516&amp;sourceID=14","0.00516")</f>
        <v>0.00516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HYPERLINK("http://141.218.60.56/~jnz1568/getInfo.php?workbook=14_06.xlsx&amp;sheet=U0&amp;row=1293&amp;col=6&amp;number=3.9&amp;sourceID=14","3.9")</f>
        <v>3.9</v>
      </c>
      <c r="G1293" s="4" t="str">
        <f>HYPERLINK("http://141.218.60.56/~jnz1568/getInfo.php?workbook=14_06.xlsx&amp;sheet=U0&amp;row=1293&amp;col=7&amp;number=0.00516&amp;sourceID=14","0.00516")</f>
        <v>0.00516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HYPERLINK("http://141.218.60.56/~jnz1568/getInfo.php?workbook=14_06.xlsx&amp;sheet=U0&amp;row=1294&amp;col=6&amp;number=4&amp;sourceID=14","4")</f>
        <v>4</v>
      </c>
      <c r="G1294" s="4" t="str">
        <f>HYPERLINK("http://141.218.60.56/~jnz1568/getInfo.php?workbook=14_06.xlsx&amp;sheet=U0&amp;row=1294&amp;col=7&amp;number=0.00516&amp;sourceID=14","0.00516")</f>
        <v>0.00516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HYPERLINK("http://141.218.60.56/~jnz1568/getInfo.php?workbook=14_06.xlsx&amp;sheet=U0&amp;row=1295&amp;col=6&amp;number=4.1&amp;sourceID=14","4.1")</f>
        <v>4.1</v>
      </c>
      <c r="G1295" s="4" t="str">
        <f>HYPERLINK("http://141.218.60.56/~jnz1568/getInfo.php?workbook=14_06.xlsx&amp;sheet=U0&amp;row=1295&amp;col=7&amp;number=0.00516&amp;sourceID=14","0.00516")</f>
        <v>0.00516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HYPERLINK("http://141.218.60.56/~jnz1568/getInfo.php?workbook=14_06.xlsx&amp;sheet=U0&amp;row=1296&amp;col=6&amp;number=4.2&amp;sourceID=14","4.2")</f>
        <v>4.2</v>
      </c>
      <c r="G1296" s="4" t="str">
        <f>HYPERLINK("http://141.218.60.56/~jnz1568/getInfo.php?workbook=14_06.xlsx&amp;sheet=U0&amp;row=1296&amp;col=7&amp;number=0.00516&amp;sourceID=14","0.00516")</f>
        <v>0.00516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HYPERLINK("http://141.218.60.56/~jnz1568/getInfo.php?workbook=14_06.xlsx&amp;sheet=U0&amp;row=1297&amp;col=6&amp;number=4.3&amp;sourceID=14","4.3")</f>
        <v>4.3</v>
      </c>
      <c r="G1297" s="4" t="str">
        <f>HYPERLINK("http://141.218.60.56/~jnz1568/getInfo.php?workbook=14_06.xlsx&amp;sheet=U0&amp;row=1297&amp;col=7&amp;number=0.00517&amp;sourceID=14","0.00517")</f>
        <v>0.00517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HYPERLINK("http://141.218.60.56/~jnz1568/getInfo.php?workbook=14_06.xlsx&amp;sheet=U0&amp;row=1298&amp;col=6&amp;number=4.4&amp;sourceID=14","4.4")</f>
        <v>4.4</v>
      </c>
      <c r="G1298" s="4" t="str">
        <f>HYPERLINK("http://141.218.60.56/~jnz1568/getInfo.php?workbook=14_06.xlsx&amp;sheet=U0&amp;row=1298&amp;col=7&amp;number=0.00517&amp;sourceID=14","0.00517")</f>
        <v>0.00517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HYPERLINK("http://141.218.60.56/~jnz1568/getInfo.php?workbook=14_06.xlsx&amp;sheet=U0&amp;row=1299&amp;col=6&amp;number=4.5&amp;sourceID=14","4.5")</f>
        <v>4.5</v>
      </c>
      <c r="G1299" s="4" t="str">
        <f>HYPERLINK("http://141.218.60.56/~jnz1568/getInfo.php?workbook=14_06.xlsx&amp;sheet=U0&amp;row=1299&amp;col=7&amp;number=0.00517&amp;sourceID=14","0.00517")</f>
        <v>0.00517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HYPERLINK("http://141.218.60.56/~jnz1568/getInfo.php?workbook=14_06.xlsx&amp;sheet=U0&amp;row=1300&amp;col=6&amp;number=4.6&amp;sourceID=14","4.6")</f>
        <v>4.6</v>
      </c>
      <c r="G1300" s="4" t="str">
        <f>HYPERLINK("http://141.218.60.56/~jnz1568/getInfo.php?workbook=14_06.xlsx&amp;sheet=U0&amp;row=1300&amp;col=7&amp;number=0.00518&amp;sourceID=14","0.00518")</f>
        <v>0.00518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HYPERLINK("http://141.218.60.56/~jnz1568/getInfo.php?workbook=14_06.xlsx&amp;sheet=U0&amp;row=1301&amp;col=6&amp;number=4.7&amp;sourceID=14","4.7")</f>
        <v>4.7</v>
      </c>
      <c r="G1301" s="4" t="str">
        <f>HYPERLINK("http://141.218.60.56/~jnz1568/getInfo.php?workbook=14_06.xlsx&amp;sheet=U0&amp;row=1301&amp;col=7&amp;number=0.00518&amp;sourceID=14","0.00518")</f>
        <v>0.00518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HYPERLINK("http://141.218.60.56/~jnz1568/getInfo.php?workbook=14_06.xlsx&amp;sheet=U0&amp;row=1302&amp;col=6&amp;number=4.8&amp;sourceID=14","4.8")</f>
        <v>4.8</v>
      </c>
      <c r="G1302" s="4" t="str">
        <f>HYPERLINK("http://141.218.60.56/~jnz1568/getInfo.php?workbook=14_06.xlsx&amp;sheet=U0&amp;row=1302&amp;col=7&amp;number=0.00519&amp;sourceID=14","0.00519")</f>
        <v>0.00519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HYPERLINK("http://141.218.60.56/~jnz1568/getInfo.php?workbook=14_06.xlsx&amp;sheet=U0&amp;row=1303&amp;col=6&amp;number=4.9&amp;sourceID=14","4.9")</f>
        <v>4.9</v>
      </c>
      <c r="G1303" s="4" t="str">
        <f>HYPERLINK("http://141.218.60.56/~jnz1568/getInfo.php?workbook=14_06.xlsx&amp;sheet=U0&amp;row=1303&amp;col=7&amp;number=0.0052&amp;sourceID=14","0.0052")</f>
        <v>0.0052</v>
      </c>
    </row>
    <row r="1304" spans="1:7">
      <c r="A1304" s="3">
        <v>14</v>
      </c>
      <c r="B1304" s="3">
        <v>6</v>
      </c>
      <c r="C1304" s="3">
        <v>2</v>
      </c>
      <c r="D1304" s="3">
        <v>23</v>
      </c>
      <c r="E1304" s="3">
        <v>1</v>
      </c>
      <c r="F1304" s="4" t="str">
        <f>HYPERLINK("http://141.218.60.56/~jnz1568/getInfo.php?workbook=14_06.xlsx&amp;sheet=U0&amp;row=1304&amp;col=6&amp;number=3&amp;sourceID=14","3")</f>
        <v>3</v>
      </c>
      <c r="G1304" s="4" t="str">
        <f>HYPERLINK("http://141.218.60.56/~jnz1568/getInfo.php?workbook=14_06.xlsx&amp;sheet=U0&amp;row=1304&amp;col=7&amp;number=0.00412&amp;sourceID=14","0.00412")</f>
        <v>0.00412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HYPERLINK("http://141.218.60.56/~jnz1568/getInfo.php?workbook=14_06.xlsx&amp;sheet=U0&amp;row=1305&amp;col=6&amp;number=3.1&amp;sourceID=14","3.1")</f>
        <v>3.1</v>
      </c>
      <c r="G1305" s="4" t="str">
        <f>HYPERLINK("http://141.218.60.56/~jnz1568/getInfo.php?workbook=14_06.xlsx&amp;sheet=U0&amp;row=1305&amp;col=7&amp;number=0.00413&amp;sourceID=14","0.00413")</f>
        <v>0.00413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HYPERLINK("http://141.218.60.56/~jnz1568/getInfo.php?workbook=14_06.xlsx&amp;sheet=U0&amp;row=1306&amp;col=6&amp;number=3.2&amp;sourceID=14","3.2")</f>
        <v>3.2</v>
      </c>
      <c r="G1306" s="4" t="str">
        <f>HYPERLINK("http://141.218.60.56/~jnz1568/getInfo.php?workbook=14_06.xlsx&amp;sheet=U0&amp;row=1306&amp;col=7&amp;number=0.00413&amp;sourceID=14","0.00413")</f>
        <v>0.00413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HYPERLINK("http://141.218.60.56/~jnz1568/getInfo.php?workbook=14_06.xlsx&amp;sheet=U0&amp;row=1307&amp;col=6&amp;number=3.3&amp;sourceID=14","3.3")</f>
        <v>3.3</v>
      </c>
      <c r="G1307" s="4" t="str">
        <f>HYPERLINK("http://141.218.60.56/~jnz1568/getInfo.php?workbook=14_06.xlsx&amp;sheet=U0&amp;row=1307&amp;col=7&amp;number=0.00413&amp;sourceID=14","0.00413")</f>
        <v>0.00413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HYPERLINK("http://141.218.60.56/~jnz1568/getInfo.php?workbook=14_06.xlsx&amp;sheet=U0&amp;row=1308&amp;col=6&amp;number=3.4&amp;sourceID=14","3.4")</f>
        <v>3.4</v>
      </c>
      <c r="G1308" s="4" t="str">
        <f>HYPERLINK("http://141.218.60.56/~jnz1568/getInfo.php?workbook=14_06.xlsx&amp;sheet=U0&amp;row=1308&amp;col=7&amp;number=0.00413&amp;sourceID=14","0.00413")</f>
        <v>0.00413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HYPERLINK("http://141.218.60.56/~jnz1568/getInfo.php?workbook=14_06.xlsx&amp;sheet=U0&amp;row=1309&amp;col=6&amp;number=3.5&amp;sourceID=14","3.5")</f>
        <v>3.5</v>
      </c>
      <c r="G1309" s="4" t="str">
        <f>HYPERLINK("http://141.218.60.56/~jnz1568/getInfo.php?workbook=14_06.xlsx&amp;sheet=U0&amp;row=1309&amp;col=7&amp;number=0.00413&amp;sourceID=14","0.00413")</f>
        <v>0.00413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HYPERLINK("http://141.218.60.56/~jnz1568/getInfo.php?workbook=14_06.xlsx&amp;sheet=U0&amp;row=1310&amp;col=6&amp;number=3.6&amp;sourceID=14","3.6")</f>
        <v>3.6</v>
      </c>
      <c r="G1310" s="4" t="str">
        <f>HYPERLINK("http://141.218.60.56/~jnz1568/getInfo.php?workbook=14_06.xlsx&amp;sheet=U0&amp;row=1310&amp;col=7&amp;number=0.00413&amp;sourceID=14","0.00413")</f>
        <v>0.00413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HYPERLINK("http://141.218.60.56/~jnz1568/getInfo.php?workbook=14_06.xlsx&amp;sheet=U0&amp;row=1311&amp;col=6&amp;number=3.7&amp;sourceID=14","3.7")</f>
        <v>3.7</v>
      </c>
      <c r="G1311" s="4" t="str">
        <f>HYPERLINK("http://141.218.60.56/~jnz1568/getInfo.php?workbook=14_06.xlsx&amp;sheet=U0&amp;row=1311&amp;col=7&amp;number=0.00414&amp;sourceID=14","0.00414")</f>
        <v>0.00414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HYPERLINK("http://141.218.60.56/~jnz1568/getInfo.php?workbook=14_06.xlsx&amp;sheet=U0&amp;row=1312&amp;col=6&amp;number=3.8&amp;sourceID=14","3.8")</f>
        <v>3.8</v>
      </c>
      <c r="G1312" s="4" t="str">
        <f>HYPERLINK("http://141.218.60.56/~jnz1568/getInfo.php?workbook=14_06.xlsx&amp;sheet=U0&amp;row=1312&amp;col=7&amp;number=0.00414&amp;sourceID=14","0.00414")</f>
        <v>0.00414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HYPERLINK("http://141.218.60.56/~jnz1568/getInfo.php?workbook=14_06.xlsx&amp;sheet=U0&amp;row=1313&amp;col=6&amp;number=3.9&amp;sourceID=14","3.9")</f>
        <v>3.9</v>
      </c>
      <c r="G1313" s="4" t="str">
        <f>HYPERLINK("http://141.218.60.56/~jnz1568/getInfo.php?workbook=14_06.xlsx&amp;sheet=U0&amp;row=1313&amp;col=7&amp;number=0.00414&amp;sourceID=14","0.00414")</f>
        <v>0.00414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HYPERLINK("http://141.218.60.56/~jnz1568/getInfo.php?workbook=14_06.xlsx&amp;sheet=U0&amp;row=1314&amp;col=6&amp;number=4&amp;sourceID=14","4")</f>
        <v>4</v>
      </c>
      <c r="G1314" s="4" t="str">
        <f>HYPERLINK("http://141.218.60.56/~jnz1568/getInfo.php?workbook=14_06.xlsx&amp;sheet=U0&amp;row=1314&amp;col=7&amp;number=0.00415&amp;sourceID=14","0.00415")</f>
        <v>0.00415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HYPERLINK("http://141.218.60.56/~jnz1568/getInfo.php?workbook=14_06.xlsx&amp;sheet=U0&amp;row=1315&amp;col=6&amp;number=4.1&amp;sourceID=14","4.1")</f>
        <v>4.1</v>
      </c>
      <c r="G1315" s="4" t="str">
        <f>HYPERLINK("http://141.218.60.56/~jnz1568/getInfo.php?workbook=14_06.xlsx&amp;sheet=U0&amp;row=1315&amp;col=7&amp;number=0.00416&amp;sourceID=14","0.00416")</f>
        <v>0.00416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HYPERLINK("http://141.218.60.56/~jnz1568/getInfo.php?workbook=14_06.xlsx&amp;sheet=U0&amp;row=1316&amp;col=6&amp;number=4.2&amp;sourceID=14","4.2")</f>
        <v>4.2</v>
      </c>
      <c r="G1316" s="4" t="str">
        <f>HYPERLINK("http://141.218.60.56/~jnz1568/getInfo.php?workbook=14_06.xlsx&amp;sheet=U0&amp;row=1316&amp;col=7&amp;number=0.00417&amp;sourceID=14","0.00417")</f>
        <v>0.00417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HYPERLINK("http://141.218.60.56/~jnz1568/getInfo.php?workbook=14_06.xlsx&amp;sheet=U0&amp;row=1317&amp;col=6&amp;number=4.3&amp;sourceID=14","4.3")</f>
        <v>4.3</v>
      </c>
      <c r="G1317" s="4" t="str">
        <f>HYPERLINK("http://141.218.60.56/~jnz1568/getInfo.php?workbook=14_06.xlsx&amp;sheet=U0&amp;row=1317&amp;col=7&amp;number=0.00418&amp;sourceID=14","0.00418")</f>
        <v>0.00418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HYPERLINK("http://141.218.60.56/~jnz1568/getInfo.php?workbook=14_06.xlsx&amp;sheet=U0&amp;row=1318&amp;col=6&amp;number=4.4&amp;sourceID=14","4.4")</f>
        <v>4.4</v>
      </c>
      <c r="G1318" s="4" t="str">
        <f>HYPERLINK("http://141.218.60.56/~jnz1568/getInfo.php?workbook=14_06.xlsx&amp;sheet=U0&amp;row=1318&amp;col=7&amp;number=0.00419&amp;sourceID=14","0.00419")</f>
        <v>0.00419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HYPERLINK("http://141.218.60.56/~jnz1568/getInfo.php?workbook=14_06.xlsx&amp;sheet=U0&amp;row=1319&amp;col=6&amp;number=4.5&amp;sourceID=14","4.5")</f>
        <v>4.5</v>
      </c>
      <c r="G1319" s="4" t="str">
        <f>HYPERLINK("http://141.218.60.56/~jnz1568/getInfo.php?workbook=14_06.xlsx&amp;sheet=U0&amp;row=1319&amp;col=7&amp;number=0.00421&amp;sourceID=14","0.00421")</f>
        <v>0.00421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HYPERLINK("http://141.218.60.56/~jnz1568/getInfo.php?workbook=14_06.xlsx&amp;sheet=U0&amp;row=1320&amp;col=6&amp;number=4.6&amp;sourceID=14","4.6")</f>
        <v>4.6</v>
      </c>
      <c r="G1320" s="4" t="str">
        <f>HYPERLINK("http://141.218.60.56/~jnz1568/getInfo.php?workbook=14_06.xlsx&amp;sheet=U0&amp;row=1320&amp;col=7&amp;number=0.00424&amp;sourceID=14","0.00424")</f>
        <v>0.00424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HYPERLINK("http://141.218.60.56/~jnz1568/getInfo.php?workbook=14_06.xlsx&amp;sheet=U0&amp;row=1321&amp;col=6&amp;number=4.7&amp;sourceID=14","4.7")</f>
        <v>4.7</v>
      </c>
      <c r="G1321" s="4" t="str">
        <f>HYPERLINK("http://141.218.60.56/~jnz1568/getInfo.php?workbook=14_06.xlsx&amp;sheet=U0&amp;row=1321&amp;col=7&amp;number=0.00426&amp;sourceID=14","0.00426")</f>
        <v>0.00426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HYPERLINK("http://141.218.60.56/~jnz1568/getInfo.php?workbook=14_06.xlsx&amp;sheet=U0&amp;row=1322&amp;col=6&amp;number=4.8&amp;sourceID=14","4.8")</f>
        <v>4.8</v>
      </c>
      <c r="G1322" s="4" t="str">
        <f>HYPERLINK("http://141.218.60.56/~jnz1568/getInfo.php?workbook=14_06.xlsx&amp;sheet=U0&amp;row=1322&amp;col=7&amp;number=0.0043&amp;sourceID=14","0.0043")</f>
        <v>0.0043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HYPERLINK("http://141.218.60.56/~jnz1568/getInfo.php?workbook=14_06.xlsx&amp;sheet=U0&amp;row=1323&amp;col=6&amp;number=4.9&amp;sourceID=14","4.9")</f>
        <v>4.9</v>
      </c>
      <c r="G1323" s="4" t="str">
        <f>HYPERLINK("http://141.218.60.56/~jnz1568/getInfo.php?workbook=14_06.xlsx&amp;sheet=U0&amp;row=1323&amp;col=7&amp;number=0.00435&amp;sourceID=14","0.00435")</f>
        <v>0.00435</v>
      </c>
    </row>
    <row r="1324" spans="1:7">
      <c r="A1324" s="3">
        <v>14</v>
      </c>
      <c r="B1324" s="3">
        <v>6</v>
      </c>
      <c r="C1324" s="3">
        <v>2</v>
      </c>
      <c r="D1324" s="3">
        <v>24</v>
      </c>
      <c r="E1324" s="3">
        <v>1</v>
      </c>
      <c r="F1324" s="4" t="str">
        <f>HYPERLINK("http://141.218.60.56/~jnz1568/getInfo.php?workbook=14_06.xlsx&amp;sheet=U0&amp;row=1324&amp;col=6&amp;number=3&amp;sourceID=14","3")</f>
        <v>3</v>
      </c>
      <c r="G1324" s="4" t="str">
        <f>HYPERLINK("http://141.218.60.56/~jnz1568/getInfo.php?workbook=14_06.xlsx&amp;sheet=U0&amp;row=1324&amp;col=7&amp;number=0.00377&amp;sourceID=14","0.00377")</f>
        <v>0.00377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HYPERLINK("http://141.218.60.56/~jnz1568/getInfo.php?workbook=14_06.xlsx&amp;sheet=U0&amp;row=1325&amp;col=6&amp;number=3.1&amp;sourceID=14","3.1")</f>
        <v>3.1</v>
      </c>
      <c r="G1325" s="4" t="str">
        <f>HYPERLINK("http://141.218.60.56/~jnz1568/getInfo.php?workbook=14_06.xlsx&amp;sheet=U0&amp;row=1325&amp;col=7&amp;number=0.00377&amp;sourceID=14","0.00377")</f>
        <v>0.00377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HYPERLINK("http://141.218.60.56/~jnz1568/getInfo.php?workbook=14_06.xlsx&amp;sheet=U0&amp;row=1326&amp;col=6&amp;number=3.2&amp;sourceID=14","3.2")</f>
        <v>3.2</v>
      </c>
      <c r="G1326" s="4" t="str">
        <f>HYPERLINK("http://141.218.60.56/~jnz1568/getInfo.php?workbook=14_06.xlsx&amp;sheet=U0&amp;row=1326&amp;col=7&amp;number=0.00377&amp;sourceID=14","0.00377")</f>
        <v>0.00377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HYPERLINK("http://141.218.60.56/~jnz1568/getInfo.php?workbook=14_06.xlsx&amp;sheet=U0&amp;row=1327&amp;col=6&amp;number=3.3&amp;sourceID=14","3.3")</f>
        <v>3.3</v>
      </c>
      <c r="G1327" s="4" t="str">
        <f>HYPERLINK("http://141.218.60.56/~jnz1568/getInfo.php?workbook=14_06.xlsx&amp;sheet=U0&amp;row=1327&amp;col=7&amp;number=0.00377&amp;sourceID=14","0.00377")</f>
        <v>0.00377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HYPERLINK("http://141.218.60.56/~jnz1568/getInfo.php?workbook=14_06.xlsx&amp;sheet=U0&amp;row=1328&amp;col=6&amp;number=3.4&amp;sourceID=14","3.4")</f>
        <v>3.4</v>
      </c>
      <c r="G1328" s="4" t="str">
        <f>HYPERLINK("http://141.218.60.56/~jnz1568/getInfo.php?workbook=14_06.xlsx&amp;sheet=U0&amp;row=1328&amp;col=7&amp;number=0.00377&amp;sourceID=14","0.00377")</f>
        <v>0.00377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HYPERLINK("http://141.218.60.56/~jnz1568/getInfo.php?workbook=14_06.xlsx&amp;sheet=U0&amp;row=1329&amp;col=6&amp;number=3.5&amp;sourceID=14","3.5")</f>
        <v>3.5</v>
      </c>
      <c r="G1329" s="4" t="str">
        <f>HYPERLINK("http://141.218.60.56/~jnz1568/getInfo.php?workbook=14_06.xlsx&amp;sheet=U0&amp;row=1329&amp;col=7&amp;number=0.00377&amp;sourceID=14","0.00377")</f>
        <v>0.00377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HYPERLINK("http://141.218.60.56/~jnz1568/getInfo.php?workbook=14_06.xlsx&amp;sheet=U0&amp;row=1330&amp;col=6&amp;number=3.6&amp;sourceID=14","3.6")</f>
        <v>3.6</v>
      </c>
      <c r="G1330" s="4" t="str">
        <f>HYPERLINK("http://141.218.60.56/~jnz1568/getInfo.php?workbook=14_06.xlsx&amp;sheet=U0&amp;row=1330&amp;col=7&amp;number=0.00377&amp;sourceID=14","0.00377")</f>
        <v>0.00377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HYPERLINK("http://141.218.60.56/~jnz1568/getInfo.php?workbook=14_06.xlsx&amp;sheet=U0&amp;row=1331&amp;col=6&amp;number=3.7&amp;sourceID=14","3.7")</f>
        <v>3.7</v>
      </c>
      <c r="G1331" s="4" t="str">
        <f>HYPERLINK("http://141.218.60.56/~jnz1568/getInfo.php?workbook=14_06.xlsx&amp;sheet=U0&amp;row=1331&amp;col=7&amp;number=0.00377&amp;sourceID=14","0.00377")</f>
        <v>0.00377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HYPERLINK("http://141.218.60.56/~jnz1568/getInfo.php?workbook=14_06.xlsx&amp;sheet=U0&amp;row=1332&amp;col=6&amp;number=3.8&amp;sourceID=14","3.8")</f>
        <v>3.8</v>
      </c>
      <c r="G1332" s="4" t="str">
        <f>HYPERLINK("http://141.218.60.56/~jnz1568/getInfo.php?workbook=14_06.xlsx&amp;sheet=U0&amp;row=1332&amp;col=7&amp;number=0.00377&amp;sourceID=14","0.00377")</f>
        <v>0.00377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HYPERLINK("http://141.218.60.56/~jnz1568/getInfo.php?workbook=14_06.xlsx&amp;sheet=U0&amp;row=1333&amp;col=6&amp;number=3.9&amp;sourceID=14","3.9")</f>
        <v>3.9</v>
      </c>
      <c r="G1333" s="4" t="str">
        <f>HYPERLINK("http://141.218.60.56/~jnz1568/getInfo.php?workbook=14_06.xlsx&amp;sheet=U0&amp;row=1333&amp;col=7&amp;number=0.00376&amp;sourceID=14","0.00376")</f>
        <v>0.00376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HYPERLINK("http://141.218.60.56/~jnz1568/getInfo.php?workbook=14_06.xlsx&amp;sheet=U0&amp;row=1334&amp;col=6&amp;number=4&amp;sourceID=14","4")</f>
        <v>4</v>
      </c>
      <c r="G1334" s="4" t="str">
        <f>HYPERLINK("http://141.218.60.56/~jnz1568/getInfo.php?workbook=14_06.xlsx&amp;sheet=U0&amp;row=1334&amp;col=7&amp;number=0.00376&amp;sourceID=14","0.00376")</f>
        <v>0.00376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HYPERLINK("http://141.218.60.56/~jnz1568/getInfo.php?workbook=14_06.xlsx&amp;sheet=U0&amp;row=1335&amp;col=6&amp;number=4.1&amp;sourceID=14","4.1")</f>
        <v>4.1</v>
      </c>
      <c r="G1335" s="4" t="str">
        <f>HYPERLINK("http://141.218.60.56/~jnz1568/getInfo.php?workbook=14_06.xlsx&amp;sheet=U0&amp;row=1335&amp;col=7&amp;number=0.00376&amp;sourceID=14","0.00376")</f>
        <v>0.00376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HYPERLINK("http://141.218.60.56/~jnz1568/getInfo.php?workbook=14_06.xlsx&amp;sheet=U0&amp;row=1336&amp;col=6&amp;number=4.2&amp;sourceID=14","4.2")</f>
        <v>4.2</v>
      </c>
      <c r="G1336" s="4" t="str">
        <f>HYPERLINK("http://141.218.60.56/~jnz1568/getInfo.php?workbook=14_06.xlsx&amp;sheet=U0&amp;row=1336&amp;col=7&amp;number=0.00375&amp;sourceID=14","0.00375")</f>
        <v>0.00375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HYPERLINK("http://141.218.60.56/~jnz1568/getInfo.php?workbook=14_06.xlsx&amp;sheet=U0&amp;row=1337&amp;col=6&amp;number=4.3&amp;sourceID=14","4.3")</f>
        <v>4.3</v>
      </c>
      <c r="G1337" s="4" t="str">
        <f>HYPERLINK("http://141.218.60.56/~jnz1568/getInfo.php?workbook=14_06.xlsx&amp;sheet=U0&amp;row=1337&amp;col=7&amp;number=0.00375&amp;sourceID=14","0.00375")</f>
        <v>0.00375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HYPERLINK("http://141.218.60.56/~jnz1568/getInfo.php?workbook=14_06.xlsx&amp;sheet=U0&amp;row=1338&amp;col=6&amp;number=4.4&amp;sourceID=14","4.4")</f>
        <v>4.4</v>
      </c>
      <c r="G1338" s="4" t="str">
        <f>HYPERLINK("http://141.218.60.56/~jnz1568/getInfo.php?workbook=14_06.xlsx&amp;sheet=U0&amp;row=1338&amp;col=7&amp;number=0.00374&amp;sourceID=14","0.00374")</f>
        <v>0.00374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HYPERLINK("http://141.218.60.56/~jnz1568/getInfo.php?workbook=14_06.xlsx&amp;sheet=U0&amp;row=1339&amp;col=6&amp;number=4.5&amp;sourceID=14","4.5")</f>
        <v>4.5</v>
      </c>
      <c r="G1339" s="4" t="str">
        <f>HYPERLINK("http://141.218.60.56/~jnz1568/getInfo.php?workbook=14_06.xlsx&amp;sheet=U0&amp;row=1339&amp;col=7&amp;number=0.00374&amp;sourceID=14","0.00374")</f>
        <v>0.00374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HYPERLINK("http://141.218.60.56/~jnz1568/getInfo.php?workbook=14_06.xlsx&amp;sheet=U0&amp;row=1340&amp;col=6&amp;number=4.6&amp;sourceID=14","4.6")</f>
        <v>4.6</v>
      </c>
      <c r="G1340" s="4" t="str">
        <f>HYPERLINK("http://141.218.60.56/~jnz1568/getInfo.php?workbook=14_06.xlsx&amp;sheet=U0&amp;row=1340&amp;col=7&amp;number=0.00373&amp;sourceID=14","0.00373")</f>
        <v>0.00373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HYPERLINK("http://141.218.60.56/~jnz1568/getInfo.php?workbook=14_06.xlsx&amp;sheet=U0&amp;row=1341&amp;col=6&amp;number=4.7&amp;sourceID=14","4.7")</f>
        <v>4.7</v>
      </c>
      <c r="G1341" s="4" t="str">
        <f>HYPERLINK("http://141.218.60.56/~jnz1568/getInfo.php?workbook=14_06.xlsx&amp;sheet=U0&amp;row=1341&amp;col=7&amp;number=0.00371&amp;sourceID=14","0.00371")</f>
        <v>0.00371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HYPERLINK("http://141.218.60.56/~jnz1568/getInfo.php?workbook=14_06.xlsx&amp;sheet=U0&amp;row=1342&amp;col=6&amp;number=4.8&amp;sourceID=14","4.8")</f>
        <v>4.8</v>
      </c>
      <c r="G1342" s="4" t="str">
        <f>HYPERLINK("http://141.218.60.56/~jnz1568/getInfo.php?workbook=14_06.xlsx&amp;sheet=U0&amp;row=1342&amp;col=7&amp;number=0.0037&amp;sourceID=14","0.0037")</f>
        <v>0.0037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HYPERLINK("http://141.218.60.56/~jnz1568/getInfo.php?workbook=14_06.xlsx&amp;sheet=U0&amp;row=1343&amp;col=6&amp;number=4.9&amp;sourceID=14","4.9")</f>
        <v>4.9</v>
      </c>
      <c r="G1343" s="4" t="str">
        <f>HYPERLINK("http://141.218.60.56/~jnz1568/getInfo.php?workbook=14_06.xlsx&amp;sheet=U0&amp;row=1343&amp;col=7&amp;number=0.00368&amp;sourceID=14","0.00368")</f>
        <v>0.00368</v>
      </c>
    </row>
    <row r="1344" spans="1:7">
      <c r="A1344" s="3">
        <v>14</v>
      </c>
      <c r="B1344" s="3">
        <v>6</v>
      </c>
      <c r="C1344" s="3">
        <v>2</v>
      </c>
      <c r="D1344" s="3">
        <v>25</v>
      </c>
      <c r="E1344" s="3">
        <v>1</v>
      </c>
      <c r="F1344" s="4" t="str">
        <f>HYPERLINK("http://141.218.60.56/~jnz1568/getInfo.php?workbook=14_06.xlsx&amp;sheet=U0&amp;row=1344&amp;col=6&amp;number=3&amp;sourceID=14","3")</f>
        <v>3</v>
      </c>
      <c r="G1344" s="4" t="str">
        <f>HYPERLINK("http://141.218.60.56/~jnz1568/getInfo.php?workbook=14_06.xlsx&amp;sheet=U0&amp;row=1344&amp;col=7&amp;number=0.0129&amp;sourceID=14","0.0129")</f>
        <v>0.0129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HYPERLINK("http://141.218.60.56/~jnz1568/getInfo.php?workbook=14_06.xlsx&amp;sheet=U0&amp;row=1345&amp;col=6&amp;number=3.1&amp;sourceID=14","3.1")</f>
        <v>3.1</v>
      </c>
      <c r="G1345" s="4" t="str">
        <f>HYPERLINK("http://141.218.60.56/~jnz1568/getInfo.php?workbook=14_06.xlsx&amp;sheet=U0&amp;row=1345&amp;col=7&amp;number=0.0129&amp;sourceID=14","0.0129")</f>
        <v>0.0129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HYPERLINK("http://141.218.60.56/~jnz1568/getInfo.php?workbook=14_06.xlsx&amp;sheet=U0&amp;row=1346&amp;col=6&amp;number=3.2&amp;sourceID=14","3.2")</f>
        <v>3.2</v>
      </c>
      <c r="G1346" s="4" t="str">
        <f>HYPERLINK("http://141.218.60.56/~jnz1568/getInfo.php?workbook=14_06.xlsx&amp;sheet=U0&amp;row=1346&amp;col=7&amp;number=0.0129&amp;sourceID=14","0.0129")</f>
        <v>0.0129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HYPERLINK("http://141.218.60.56/~jnz1568/getInfo.php?workbook=14_06.xlsx&amp;sheet=U0&amp;row=1347&amp;col=6&amp;number=3.3&amp;sourceID=14","3.3")</f>
        <v>3.3</v>
      </c>
      <c r="G1347" s="4" t="str">
        <f>HYPERLINK("http://141.218.60.56/~jnz1568/getInfo.php?workbook=14_06.xlsx&amp;sheet=U0&amp;row=1347&amp;col=7&amp;number=0.0129&amp;sourceID=14","0.0129")</f>
        <v>0.0129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HYPERLINK("http://141.218.60.56/~jnz1568/getInfo.php?workbook=14_06.xlsx&amp;sheet=U0&amp;row=1348&amp;col=6&amp;number=3.4&amp;sourceID=14","3.4")</f>
        <v>3.4</v>
      </c>
      <c r="G1348" s="4" t="str">
        <f>HYPERLINK("http://141.218.60.56/~jnz1568/getInfo.php?workbook=14_06.xlsx&amp;sheet=U0&amp;row=1348&amp;col=7&amp;number=0.0129&amp;sourceID=14","0.0129")</f>
        <v>0.0129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HYPERLINK("http://141.218.60.56/~jnz1568/getInfo.php?workbook=14_06.xlsx&amp;sheet=U0&amp;row=1349&amp;col=6&amp;number=3.5&amp;sourceID=14","3.5")</f>
        <v>3.5</v>
      </c>
      <c r="G1349" s="4" t="str">
        <f>HYPERLINK("http://141.218.60.56/~jnz1568/getInfo.php?workbook=14_06.xlsx&amp;sheet=U0&amp;row=1349&amp;col=7&amp;number=0.0128&amp;sourceID=14","0.0128")</f>
        <v>0.0128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HYPERLINK("http://141.218.60.56/~jnz1568/getInfo.php?workbook=14_06.xlsx&amp;sheet=U0&amp;row=1350&amp;col=6&amp;number=3.6&amp;sourceID=14","3.6")</f>
        <v>3.6</v>
      </c>
      <c r="G1350" s="4" t="str">
        <f>HYPERLINK("http://141.218.60.56/~jnz1568/getInfo.php?workbook=14_06.xlsx&amp;sheet=U0&amp;row=1350&amp;col=7&amp;number=0.0128&amp;sourceID=14","0.0128")</f>
        <v>0.0128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HYPERLINK("http://141.218.60.56/~jnz1568/getInfo.php?workbook=14_06.xlsx&amp;sheet=U0&amp;row=1351&amp;col=6&amp;number=3.7&amp;sourceID=14","3.7")</f>
        <v>3.7</v>
      </c>
      <c r="G1351" s="4" t="str">
        <f>HYPERLINK("http://141.218.60.56/~jnz1568/getInfo.php?workbook=14_06.xlsx&amp;sheet=U0&amp;row=1351&amp;col=7&amp;number=0.0128&amp;sourceID=14","0.0128")</f>
        <v>0.0128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HYPERLINK("http://141.218.60.56/~jnz1568/getInfo.php?workbook=14_06.xlsx&amp;sheet=U0&amp;row=1352&amp;col=6&amp;number=3.8&amp;sourceID=14","3.8")</f>
        <v>3.8</v>
      </c>
      <c r="G1352" s="4" t="str">
        <f>HYPERLINK("http://141.218.60.56/~jnz1568/getInfo.php?workbook=14_06.xlsx&amp;sheet=U0&amp;row=1352&amp;col=7&amp;number=0.0128&amp;sourceID=14","0.0128")</f>
        <v>0.0128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HYPERLINK("http://141.218.60.56/~jnz1568/getInfo.php?workbook=14_06.xlsx&amp;sheet=U0&amp;row=1353&amp;col=6&amp;number=3.9&amp;sourceID=14","3.9")</f>
        <v>3.9</v>
      </c>
      <c r="G1353" s="4" t="str">
        <f>HYPERLINK("http://141.218.60.56/~jnz1568/getInfo.php?workbook=14_06.xlsx&amp;sheet=U0&amp;row=1353&amp;col=7&amp;number=0.0128&amp;sourceID=14","0.0128")</f>
        <v>0.0128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HYPERLINK("http://141.218.60.56/~jnz1568/getInfo.php?workbook=14_06.xlsx&amp;sheet=U0&amp;row=1354&amp;col=6&amp;number=4&amp;sourceID=14","4")</f>
        <v>4</v>
      </c>
      <c r="G1354" s="4" t="str">
        <f>HYPERLINK("http://141.218.60.56/~jnz1568/getInfo.php?workbook=14_06.xlsx&amp;sheet=U0&amp;row=1354&amp;col=7&amp;number=0.0128&amp;sourceID=14","0.0128")</f>
        <v>0.0128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HYPERLINK("http://141.218.60.56/~jnz1568/getInfo.php?workbook=14_06.xlsx&amp;sheet=U0&amp;row=1355&amp;col=6&amp;number=4.1&amp;sourceID=14","4.1")</f>
        <v>4.1</v>
      </c>
      <c r="G1355" s="4" t="str">
        <f>HYPERLINK("http://141.218.60.56/~jnz1568/getInfo.php?workbook=14_06.xlsx&amp;sheet=U0&amp;row=1355&amp;col=7&amp;number=0.0128&amp;sourceID=14","0.0128")</f>
        <v>0.0128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HYPERLINK("http://141.218.60.56/~jnz1568/getInfo.php?workbook=14_06.xlsx&amp;sheet=U0&amp;row=1356&amp;col=6&amp;number=4.2&amp;sourceID=14","4.2")</f>
        <v>4.2</v>
      </c>
      <c r="G1356" s="4" t="str">
        <f>HYPERLINK("http://141.218.60.56/~jnz1568/getInfo.php?workbook=14_06.xlsx&amp;sheet=U0&amp;row=1356&amp;col=7&amp;number=0.0128&amp;sourceID=14","0.0128")</f>
        <v>0.0128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HYPERLINK("http://141.218.60.56/~jnz1568/getInfo.php?workbook=14_06.xlsx&amp;sheet=U0&amp;row=1357&amp;col=6&amp;number=4.3&amp;sourceID=14","4.3")</f>
        <v>4.3</v>
      </c>
      <c r="G1357" s="4" t="str">
        <f>HYPERLINK("http://141.218.60.56/~jnz1568/getInfo.php?workbook=14_06.xlsx&amp;sheet=U0&amp;row=1357&amp;col=7&amp;number=0.0128&amp;sourceID=14","0.0128")</f>
        <v>0.0128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HYPERLINK("http://141.218.60.56/~jnz1568/getInfo.php?workbook=14_06.xlsx&amp;sheet=U0&amp;row=1358&amp;col=6&amp;number=4.4&amp;sourceID=14","4.4")</f>
        <v>4.4</v>
      </c>
      <c r="G1358" s="4" t="str">
        <f>HYPERLINK("http://141.218.60.56/~jnz1568/getInfo.php?workbook=14_06.xlsx&amp;sheet=U0&amp;row=1358&amp;col=7&amp;number=0.0128&amp;sourceID=14","0.0128")</f>
        <v>0.0128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HYPERLINK("http://141.218.60.56/~jnz1568/getInfo.php?workbook=14_06.xlsx&amp;sheet=U0&amp;row=1359&amp;col=6&amp;number=4.5&amp;sourceID=14","4.5")</f>
        <v>4.5</v>
      </c>
      <c r="G1359" s="4" t="str">
        <f>HYPERLINK("http://141.218.60.56/~jnz1568/getInfo.php?workbook=14_06.xlsx&amp;sheet=U0&amp;row=1359&amp;col=7&amp;number=0.0127&amp;sourceID=14","0.0127")</f>
        <v>0.0127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HYPERLINK("http://141.218.60.56/~jnz1568/getInfo.php?workbook=14_06.xlsx&amp;sheet=U0&amp;row=1360&amp;col=6&amp;number=4.6&amp;sourceID=14","4.6")</f>
        <v>4.6</v>
      </c>
      <c r="G1360" s="4" t="str">
        <f>HYPERLINK("http://141.218.60.56/~jnz1568/getInfo.php?workbook=14_06.xlsx&amp;sheet=U0&amp;row=1360&amp;col=7&amp;number=0.0127&amp;sourceID=14","0.0127")</f>
        <v>0.0127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HYPERLINK("http://141.218.60.56/~jnz1568/getInfo.php?workbook=14_06.xlsx&amp;sheet=U0&amp;row=1361&amp;col=6&amp;number=4.7&amp;sourceID=14","4.7")</f>
        <v>4.7</v>
      </c>
      <c r="G1361" s="4" t="str">
        <f>HYPERLINK("http://141.218.60.56/~jnz1568/getInfo.php?workbook=14_06.xlsx&amp;sheet=U0&amp;row=1361&amp;col=7&amp;number=0.0127&amp;sourceID=14","0.0127")</f>
        <v>0.0127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HYPERLINK("http://141.218.60.56/~jnz1568/getInfo.php?workbook=14_06.xlsx&amp;sheet=U0&amp;row=1362&amp;col=6&amp;number=4.8&amp;sourceID=14","4.8")</f>
        <v>4.8</v>
      </c>
      <c r="G1362" s="4" t="str">
        <f>HYPERLINK("http://141.218.60.56/~jnz1568/getInfo.php?workbook=14_06.xlsx&amp;sheet=U0&amp;row=1362&amp;col=7&amp;number=0.0126&amp;sourceID=14","0.0126")</f>
        <v>0.0126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HYPERLINK("http://141.218.60.56/~jnz1568/getInfo.php?workbook=14_06.xlsx&amp;sheet=U0&amp;row=1363&amp;col=6&amp;number=4.9&amp;sourceID=14","4.9")</f>
        <v>4.9</v>
      </c>
      <c r="G1363" s="4" t="str">
        <f>HYPERLINK("http://141.218.60.56/~jnz1568/getInfo.php?workbook=14_06.xlsx&amp;sheet=U0&amp;row=1363&amp;col=7&amp;number=0.0126&amp;sourceID=14","0.0126")</f>
        <v>0.0126</v>
      </c>
    </row>
    <row r="1364" spans="1:7">
      <c r="A1364" s="3">
        <v>14</v>
      </c>
      <c r="B1364" s="3">
        <v>6</v>
      </c>
      <c r="C1364" s="3">
        <v>2</v>
      </c>
      <c r="D1364" s="3">
        <v>26</v>
      </c>
      <c r="E1364" s="3">
        <v>1</v>
      </c>
      <c r="F1364" s="4" t="str">
        <f>HYPERLINK("http://141.218.60.56/~jnz1568/getInfo.php?workbook=14_06.xlsx&amp;sheet=U0&amp;row=1364&amp;col=6&amp;number=3&amp;sourceID=14","3")</f>
        <v>3</v>
      </c>
      <c r="G1364" s="4" t="str">
        <f>HYPERLINK("http://141.218.60.56/~jnz1568/getInfo.php?workbook=14_06.xlsx&amp;sheet=U0&amp;row=1364&amp;col=7&amp;number=0.00957&amp;sourceID=14","0.00957")</f>
        <v>0.00957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HYPERLINK("http://141.218.60.56/~jnz1568/getInfo.php?workbook=14_06.xlsx&amp;sheet=U0&amp;row=1365&amp;col=6&amp;number=3.1&amp;sourceID=14","3.1")</f>
        <v>3.1</v>
      </c>
      <c r="G1365" s="4" t="str">
        <f>HYPERLINK("http://141.218.60.56/~jnz1568/getInfo.php?workbook=14_06.xlsx&amp;sheet=U0&amp;row=1365&amp;col=7&amp;number=0.00957&amp;sourceID=14","0.00957")</f>
        <v>0.00957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HYPERLINK("http://141.218.60.56/~jnz1568/getInfo.php?workbook=14_06.xlsx&amp;sheet=U0&amp;row=1366&amp;col=6&amp;number=3.2&amp;sourceID=14","3.2")</f>
        <v>3.2</v>
      </c>
      <c r="G1366" s="4" t="str">
        <f>HYPERLINK("http://141.218.60.56/~jnz1568/getInfo.php?workbook=14_06.xlsx&amp;sheet=U0&amp;row=1366&amp;col=7&amp;number=0.00957&amp;sourceID=14","0.00957")</f>
        <v>0.00957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HYPERLINK("http://141.218.60.56/~jnz1568/getInfo.php?workbook=14_06.xlsx&amp;sheet=U0&amp;row=1367&amp;col=6&amp;number=3.3&amp;sourceID=14","3.3")</f>
        <v>3.3</v>
      </c>
      <c r="G1367" s="4" t="str">
        <f>HYPERLINK("http://141.218.60.56/~jnz1568/getInfo.php?workbook=14_06.xlsx&amp;sheet=U0&amp;row=1367&amp;col=7&amp;number=0.00957&amp;sourceID=14","0.00957")</f>
        <v>0.00957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HYPERLINK("http://141.218.60.56/~jnz1568/getInfo.php?workbook=14_06.xlsx&amp;sheet=U0&amp;row=1368&amp;col=6&amp;number=3.4&amp;sourceID=14","3.4")</f>
        <v>3.4</v>
      </c>
      <c r="G1368" s="4" t="str">
        <f>HYPERLINK("http://141.218.60.56/~jnz1568/getInfo.php?workbook=14_06.xlsx&amp;sheet=U0&amp;row=1368&amp;col=7&amp;number=0.00957&amp;sourceID=14","0.00957")</f>
        <v>0.00957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HYPERLINK("http://141.218.60.56/~jnz1568/getInfo.php?workbook=14_06.xlsx&amp;sheet=U0&amp;row=1369&amp;col=6&amp;number=3.5&amp;sourceID=14","3.5")</f>
        <v>3.5</v>
      </c>
      <c r="G1369" s="4" t="str">
        <f>HYPERLINK("http://141.218.60.56/~jnz1568/getInfo.php?workbook=14_06.xlsx&amp;sheet=U0&amp;row=1369&amp;col=7&amp;number=0.00957&amp;sourceID=14","0.00957")</f>
        <v>0.00957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HYPERLINK("http://141.218.60.56/~jnz1568/getInfo.php?workbook=14_06.xlsx&amp;sheet=U0&amp;row=1370&amp;col=6&amp;number=3.6&amp;sourceID=14","3.6")</f>
        <v>3.6</v>
      </c>
      <c r="G1370" s="4" t="str">
        <f>HYPERLINK("http://141.218.60.56/~jnz1568/getInfo.php?workbook=14_06.xlsx&amp;sheet=U0&amp;row=1370&amp;col=7&amp;number=0.00956&amp;sourceID=14","0.00956")</f>
        <v>0.00956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HYPERLINK("http://141.218.60.56/~jnz1568/getInfo.php?workbook=14_06.xlsx&amp;sheet=U0&amp;row=1371&amp;col=6&amp;number=3.7&amp;sourceID=14","3.7")</f>
        <v>3.7</v>
      </c>
      <c r="G1371" s="4" t="str">
        <f>HYPERLINK("http://141.218.60.56/~jnz1568/getInfo.php?workbook=14_06.xlsx&amp;sheet=U0&amp;row=1371&amp;col=7&amp;number=0.00956&amp;sourceID=14","0.00956")</f>
        <v>0.00956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HYPERLINK("http://141.218.60.56/~jnz1568/getInfo.php?workbook=14_06.xlsx&amp;sheet=U0&amp;row=1372&amp;col=6&amp;number=3.8&amp;sourceID=14","3.8")</f>
        <v>3.8</v>
      </c>
      <c r="G1372" s="4" t="str">
        <f>HYPERLINK("http://141.218.60.56/~jnz1568/getInfo.php?workbook=14_06.xlsx&amp;sheet=U0&amp;row=1372&amp;col=7&amp;number=0.00956&amp;sourceID=14","0.00956")</f>
        <v>0.00956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HYPERLINK("http://141.218.60.56/~jnz1568/getInfo.php?workbook=14_06.xlsx&amp;sheet=U0&amp;row=1373&amp;col=6&amp;number=3.9&amp;sourceID=14","3.9")</f>
        <v>3.9</v>
      </c>
      <c r="G1373" s="4" t="str">
        <f>HYPERLINK("http://141.218.60.56/~jnz1568/getInfo.php?workbook=14_06.xlsx&amp;sheet=U0&amp;row=1373&amp;col=7&amp;number=0.00956&amp;sourceID=14","0.00956")</f>
        <v>0.00956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HYPERLINK("http://141.218.60.56/~jnz1568/getInfo.php?workbook=14_06.xlsx&amp;sheet=U0&amp;row=1374&amp;col=6&amp;number=4&amp;sourceID=14","4")</f>
        <v>4</v>
      </c>
      <c r="G1374" s="4" t="str">
        <f>HYPERLINK("http://141.218.60.56/~jnz1568/getInfo.php?workbook=14_06.xlsx&amp;sheet=U0&amp;row=1374&amp;col=7&amp;number=0.00956&amp;sourceID=14","0.00956")</f>
        <v>0.00956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HYPERLINK("http://141.218.60.56/~jnz1568/getInfo.php?workbook=14_06.xlsx&amp;sheet=U0&amp;row=1375&amp;col=6&amp;number=4.1&amp;sourceID=14","4.1")</f>
        <v>4.1</v>
      </c>
      <c r="G1375" s="4" t="str">
        <f>HYPERLINK("http://141.218.60.56/~jnz1568/getInfo.php?workbook=14_06.xlsx&amp;sheet=U0&amp;row=1375&amp;col=7&amp;number=0.00956&amp;sourceID=14","0.00956")</f>
        <v>0.00956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HYPERLINK("http://141.218.60.56/~jnz1568/getInfo.php?workbook=14_06.xlsx&amp;sheet=U0&amp;row=1376&amp;col=6&amp;number=4.2&amp;sourceID=14","4.2")</f>
        <v>4.2</v>
      </c>
      <c r="G1376" s="4" t="str">
        <f>HYPERLINK("http://141.218.60.56/~jnz1568/getInfo.php?workbook=14_06.xlsx&amp;sheet=U0&amp;row=1376&amp;col=7&amp;number=0.00956&amp;sourceID=14","0.00956")</f>
        <v>0.00956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HYPERLINK("http://141.218.60.56/~jnz1568/getInfo.php?workbook=14_06.xlsx&amp;sheet=U0&amp;row=1377&amp;col=6&amp;number=4.3&amp;sourceID=14","4.3")</f>
        <v>4.3</v>
      </c>
      <c r="G1377" s="4" t="str">
        <f>HYPERLINK("http://141.218.60.56/~jnz1568/getInfo.php?workbook=14_06.xlsx&amp;sheet=U0&amp;row=1377&amp;col=7&amp;number=0.00956&amp;sourceID=14","0.00956")</f>
        <v>0.00956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HYPERLINK("http://141.218.60.56/~jnz1568/getInfo.php?workbook=14_06.xlsx&amp;sheet=U0&amp;row=1378&amp;col=6&amp;number=4.4&amp;sourceID=14","4.4")</f>
        <v>4.4</v>
      </c>
      <c r="G1378" s="4" t="str">
        <f>HYPERLINK("http://141.218.60.56/~jnz1568/getInfo.php?workbook=14_06.xlsx&amp;sheet=U0&amp;row=1378&amp;col=7&amp;number=0.00956&amp;sourceID=14","0.00956")</f>
        <v>0.00956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HYPERLINK("http://141.218.60.56/~jnz1568/getInfo.php?workbook=14_06.xlsx&amp;sheet=U0&amp;row=1379&amp;col=6&amp;number=4.5&amp;sourceID=14","4.5")</f>
        <v>4.5</v>
      </c>
      <c r="G1379" s="4" t="str">
        <f>HYPERLINK("http://141.218.60.56/~jnz1568/getInfo.php?workbook=14_06.xlsx&amp;sheet=U0&amp;row=1379&amp;col=7&amp;number=0.00956&amp;sourceID=14","0.00956")</f>
        <v>0.00956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HYPERLINK("http://141.218.60.56/~jnz1568/getInfo.php?workbook=14_06.xlsx&amp;sheet=U0&amp;row=1380&amp;col=6&amp;number=4.6&amp;sourceID=14","4.6")</f>
        <v>4.6</v>
      </c>
      <c r="G1380" s="4" t="str">
        <f>HYPERLINK("http://141.218.60.56/~jnz1568/getInfo.php?workbook=14_06.xlsx&amp;sheet=U0&amp;row=1380&amp;col=7&amp;number=0.00955&amp;sourceID=14","0.00955")</f>
        <v>0.00955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HYPERLINK("http://141.218.60.56/~jnz1568/getInfo.php?workbook=14_06.xlsx&amp;sheet=U0&amp;row=1381&amp;col=6&amp;number=4.7&amp;sourceID=14","4.7")</f>
        <v>4.7</v>
      </c>
      <c r="G1381" s="4" t="str">
        <f>HYPERLINK("http://141.218.60.56/~jnz1568/getInfo.php?workbook=14_06.xlsx&amp;sheet=U0&amp;row=1381&amp;col=7&amp;number=0.00955&amp;sourceID=14","0.00955")</f>
        <v>0.00955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HYPERLINK("http://141.218.60.56/~jnz1568/getInfo.php?workbook=14_06.xlsx&amp;sheet=U0&amp;row=1382&amp;col=6&amp;number=4.8&amp;sourceID=14","4.8")</f>
        <v>4.8</v>
      </c>
      <c r="G1382" s="4" t="str">
        <f>HYPERLINK("http://141.218.60.56/~jnz1568/getInfo.php?workbook=14_06.xlsx&amp;sheet=U0&amp;row=1382&amp;col=7&amp;number=0.00955&amp;sourceID=14","0.00955")</f>
        <v>0.00955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HYPERLINK("http://141.218.60.56/~jnz1568/getInfo.php?workbook=14_06.xlsx&amp;sheet=U0&amp;row=1383&amp;col=6&amp;number=4.9&amp;sourceID=14","4.9")</f>
        <v>4.9</v>
      </c>
      <c r="G1383" s="4" t="str">
        <f>HYPERLINK("http://141.218.60.56/~jnz1568/getInfo.php?workbook=14_06.xlsx&amp;sheet=U0&amp;row=1383&amp;col=7&amp;number=0.00954&amp;sourceID=14","0.00954")</f>
        <v>0.00954</v>
      </c>
    </row>
    <row r="1384" spans="1:7">
      <c r="A1384" s="3">
        <v>14</v>
      </c>
      <c r="B1384" s="3">
        <v>6</v>
      </c>
      <c r="C1384" s="3">
        <v>2</v>
      </c>
      <c r="D1384" s="3">
        <v>27</v>
      </c>
      <c r="E1384" s="3">
        <v>1</v>
      </c>
      <c r="F1384" s="4" t="str">
        <f>HYPERLINK("http://141.218.60.56/~jnz1568/getInfo.php?workbook=14_06.xlsx&amp;sheet=U0&amp;row=1384&amp;col=6&amp;number=3&amp;sourceID=14","3")</f>
        <v>3</v>
      </c>
      <c r="G1384" s="4" t="str">
        <f>HYPERLINK("http://141.218.60.56/~jnz1568/getInfo.php?workbook=14_06.xlsx&amp;sheet=U0&amp;row=1384&amp;col=7&amp;number=0.015&amp;sourceID=14","0.015")</f>
        <v>0.015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HYPERLINK("http://141.218.60.56/~jnz1568/getInfo.php?workbook=14_06.xlsx&amp;sheet=U0&amp;row=1385&amp;col=6&amp;number=3.1&amp;sourceID=14","3.1")</f>
        <v>3.1</v>
      </c>
      <c r="G1385" s="4" t="str">
        <f>HYPERLINK("http://141.218.60.56/~jnz1568/getInfo.php?workbook=14_06.xlsx&amp;sheet=U0&amp;row=1385&amp;col=7&amp;number=0.015&amp;sourceID=14","0.015")</f>
        <v>0.015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HYPERLINK("http://141.218.60.56/~jnz1568/getInfo.php?workbook=14_06.xlsx&amp;sheet=U0&amp;row=1386&amp;col=6&amp;number=3.2&amp;sourceID=14","3.2")</f>
        <v>3.2</v>
      </c>
      <c r="G1386" s="4" t="str">
        <f>HYPERLINK("http://141.218.60.56/~jnz1568/getInfo.php?workbook=14_06.xlsx&amp;sheet=U0&amp;row=1386&amp;col=7&amp;number=0.015&amp;sourceID=14","0.015")</f>
        <v>0.015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HYPERLINK("http://141.218.60.56/~jnz1568/getInfo.php?workbook=14_06.xlsx&amp;sheet=U0&amp;row=1387&amp;col=6&amp;number=3.3&amp;sourceID=14","3.3")</f>
        <v>3.3</v>
      </c>
      <c r="G1387" s="4" t="str">
        <f>HYPERLINK("http://141.218.60.56/~jnz1568/getInfo.php?workbook=14_06.xlsx&amp;sheet=U0&amp;row=1387&amp;col=7&amp;number=0.015&amp;sourceID=14","0.015")</f>
        <v>0.015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HYPERLINK("http://141.218.60.56/~jnz1568/getInfo.php?workbook=14_06.xlsx&amp;sheet=U0&amp;row=1388&amp;col=6&amp;number=3.4&amp;sourceID=14","3.4")</f>
        <v>3.4</v>
      </c>
      <c r="G1388" s="4" t="str">
        <f>HYPERLINK("http://141.218.60.56/~jnz1568/getInfo.php?workbook=14_06.xlsx&amp;sheet=U0&amp;row=1388&amp;col=7&amp;number=0.015&amp;sourceID=14","0.015")</f>
        <v>0.015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HYPERLINK("http://141.218.60.56/~jnz1568/getInfo.php?workbook=14_06.xlsx&amp;sheet=U0&amp;row=1389&amp;col=6&amp;number=3.5&amp;sourceID=14","3.5")</f>
        <v>3.5</v>
      </c>
      <c r="G1389" s="4" t="str">
        <f>HYPERLINK("http://141.218.60.56/~jnz1568/getInfo.php?workbook=14_06.xlsx&amp;sheet=U0&amp;row=1389&amp;col=7&amp;number=0.015&amp;sourceID=14","0.015")</f>
        <v>0.015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HYPERLINK("http://141.218.60.56/~jnz1568/getInfo.php?workbook=14_06.xlsx&amp;sheet=U0&amp;row=1390&amp;col=6&amp;number=3.6&amp;sourceID=14","3.6")</f>
        <v>3.6</v>
      </c>
      <c r="G1390" s="4" t="str">
        <f>HYPERLINK("http://141.218.60.56/~jnz1568/getInfo.php?workbook=14_06.xlsx&amp;sheet=U0&amp;row=1390&amp;col=7&amp;number=0.015&amp;sourceID=14","0.015")</f>
        <v>0.015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HYPERLINK("http://141.218.60.56/~jnz1568/getInfo.php?workbook=14_06.xlsx&amp;sheet=U0&amp;row=1391&amp;col=6&amp;number=3.7&amp;sourceID=14","3.7")</f>
        <v>3.7</v>
      </c>
      <c r="G1391" s="4" t="str">
        <f>HYPERLINK("http://141.218.60.56/~jnz1568/getInfo.php?workbook=14_06.xlsx&amp;sheet=U0&amp;row=1391&amp;col=7&amp;number=0.015&amp;sourceID=14","0.015")</f>
        <v>0.015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HYPERLINK("http://141.218.60.56/~jnz1568/getInfo.php?workbook=14_06.xlsx&amp;sheet=U0&amp;row=1392&amp;col=6&amp;number=3.8&amp;sourceID=14","3.8")</f>
        <v>3.8</v>
      </c>
      <c r="G1392" s="4" t="str">
        <f>HYPERLINK("http://141.218.60.56/~jnz1568/getInfo.php?workbook=14_06.xlsx&amp;sheet=U0&amp;row=1392&amp;col=7&amp;number=0.015&amp;sourceID=14","0.015")</f>
        <v>0.015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HYPERLINK("http://141.218.60.56/~jnz1568/getInfo.php?workbook=14_06.xlsx&amp;sheet=U0&amp;row=1393&amp;col=6&amp;number=3.9&amp;sourceID=14","3.9")</f>
        <v>3.9</v>
      </c>
      <c r="G1393" s="4" t="str">
        <f>HYPERLINK("http://141.218.60.56/~jnz1568/getInfo.php?workbook=14_06.xlsx&amp;sheet=U0&amp;row=1393&amp;col=7&amp;number=0.015&amp;sourceID=14","0.015")</f>
        <v>0.015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HYPERLINK("http://141.218.60.56/~jnz1568/getInfo.php?workbook=14_06.xlsx&amp;sheet=U0&amp;row=1394&amp;col=6&amp;number=4&amp;sourceID=14","4")</f>
        <v>4</v>
      </c>
      <c r="G1394" s="4" t="str">
        <f>HYPERLINK("http://141.218.60.56/~jnz1568/getInfo.php?workbook=14_06.xlsx&amp;sheet=U0&amp;row=1394&amp;col=7&amp;number=0.015&amp;sourceID=14","0.015")</f>
        <v>0.015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HYPERLINK("http://141.218.60.56/~jnz1568/getInfo.php?workbook=14_06.xlsx&amp;sheet=U0&amp;row=1395&amp;col=6&amp;number=4.1&amp;sourceID=14","4.1")</f>
        <v>4.1</v>
      </c>
      <c r="G1395" s="4" t="str">
        <f>HYPERLINK("http://141.218.60.56/~jnz1568/getInfo.php?workbook=14_06.xlsx&amp;sheet=U0&amp;row=1395&amp;col=7&amp;number=0.0149&amp;sourceID=14","0.0149")</f>
        <v>0.0149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HYPERLINK("http://141.218.60.56/~jnz1568/getInfo.php?workbook=14_06.xlsx&amp;sheet=U0&amp;row=1396&amp;col=6&amp;number=4.2&amp;sourceID=14","4.2")</f>
        <v>4.2</v>
      </c>
      <c r="G1396" s="4" t="str">
        <f>HYPERLINK("http://141.218.60.56/~jnz1568/getInfo.php?workbook=14_06.xlsx&amp;sheet=U0&amp;row=1396&amp;col=7&amp;number=0.0149&amp;sourceID=14","0.0149")</f>
        <v>0.0149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HYPERLINK("http://141.218.60.56/~jnz1568/getInfo.php?workbook=14_06.xlsx&amp;sheet=U0&amp;row=1397&amp;col=6&amp;number=4.3&amp;sourceID=14","4.3")</f>
        <v>4.3</v>
      </c>
      <c r="G1397" s="4" t="str">
        <f>HYPERLINK("http://141.218.60.56/~jnz1568/getInfo.php?workbook=14_06.xlsx&amp;sheet=U0&amp;row=1397&amp;col=7&amp;number=0.0149&amp;sourceID=14","0.0149")</f>
        <v>0.0149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HYPERLINK("http://141.218.60.56/~jnz1568/getInfo.php?workbook=14_06.xlsx&amp;sheet=U0&amp;row=1398&amp;col=6&amp;number=4.4&amp;sourceID=14","4.4")</f>
        <v>4.4</v>
      </c>
      <c r="G1398" s="4" t="str">
        <f>HYPERLINK("http://141.218.60.56/~jnz1568/getInfo.php?workbook=14_06.xlsx&amp;sheet=U0&amp;row=1398&amp;col=7&amp;number=0.0149&amp;sourceID=14","0.0149")</f>
        <v>0.0149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HYPERLINK("http://141.218.60.56/~jnz1568/getInfo.php?workbook=14_06.xlsx&amp;sheet=U0&amp;row=1399&amp;col=6&amp;number=4.5&amp;sourceID=14","4.5")</f>
        <v>4.5</v>
      </c>
      <c r="G1399" s="4" t="str">
        <f>HYPERLINK("http://141.218.60.56/~jnz1568/getInfo.php?workbook=14_06.xlsx&amp;sheet=U0&amp;row=1399&amp;col=7&amp;number=0.0149&amp;sourceID=14","0.0149")</f>
        <v>0.0149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HYPERLINK("http://141.218.60.56/~jnz1568/getInfo.php?workbook=14_06.xlsx&amp;sheet=U0&amp;row=1400&amp;col=6&amp;number=4.6&amp;sourceID=14","4.6")</f>
        <v>4.6</v>
      </c>
      <c r="G1400" s="4" t="str">
        <f>HYPERLINK("http://141.218.60.56/~jnz1568/getInfo.php?workbook=14_06.xlsx&amp;sheet=U0&amp;row=1400&amp;col=7&amp;number=0.0148&amp;sourceID=14","0.0148")</f>
        <v>0.0148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HYPERLINK("http://141.218.60.56/~jnz1568/getInfo.php?workbook=14_06.xlsx&amp;sheet=U0&amp;row=1401&amp;col=6&amp;number=4.7&amp;sourceID=14","4.7")</f>
        <v>4.7</v>
      </c>
      <c r="G1401" s="4" t="str">
        <f>HYPERLINK("http://141.218.60.56/~jnz1568/getInfo.php?workbook=14_06.xlsx&amp;sheet=U0&amp;row=1401&amp;col=7&amp;number=0.0148&amp;sourceID=14","0.0148")</f>
        <v>0.0148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HYPERLINK("http://141.218.60.56/~jnz1568/getInfo.php?workbook=14_06.xlsx&amp;sheet=U0&amp;row=1402&amp;col=6&amp;number=4.8&amp;sourceID=14","4.8")</f>
        <v>4.8</v>
      </c>
      <c r="G1402" s="4" t="str">
        <f>HYPERLINK("http://141.218.60.56/~jnz1568/getInfo.php?workbook=14_06.xlsx&amp;sheet=U0&amp;row=1402&amp;col=7&amp;number=0.0147&amp;sourceID=14","0.0147")</f>
        <v>0.0147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HYPERLINK("http://141.218.60.56/~jnz1568/getInfo.php?workbook=14_06.xlsx&amp;sheet=U0&amp;row=1403&amp;col=6&amp;number=4.9&amp;sourceID=14","4.9")</f>
        <v>4.9</v>
      </c>
      <c r="G1403" s="4" t="str">
        <f>HYPERLINK("http://141.218.60.56/~jnz1568/getInfo.php?workbook=14_06.xlsx&amp;sheet=U0&amp;row=1403&amp;col=7&amp;number=0.0146&amp;sourceID=14","0.0146")</f>
        <v>0.0146</v>
      </c>
    </row>
    <row r="1404" spans="1:7">
      <c r="A1404" s="3">
        <v>14</v>
      </c>
      <c r="B1404" s="3">
        <v>6</v>
      </c>
      <c r="C1404" s="3">
        <v>2</v>
      </c>
      <c r="D1404" s="3">
        <v>28</v>
      </c>
      <c r="E1404" s="3">
        <v>1</v>
      </c>
      <c r="F1404" s="4" t="str">
        <f>HYPERLINK("http://141.218.60.56/~jnz1568/getInfo.php?workbook=14_06.xlsx&amp;sheet=U0&amp;row=1404&amp;col=6&amp;number=3&amp;sourceID=14","3")</f>
        <v>3</v>
      </c>
      <c r="G1404" s="4" t="str">
        <f>HYPERLINK("http://141.218.60.56/~jnz1568/getInfo.php?workbook=14_06.xlsx&amp;sheet=U0&amp;row=1404&amp;col=7&amp;number=0.0136&amp;sourceID=14","0.0136")</f>
        <v>0.0136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HYPERLINK("http://141.218.60.56/~jnz1568/getInfo.php?workbook=14_06.xlsx&amp;sheet=U0&amp;row=1405&amp;col=6&amp;number=3.1&amp;sourceID=14","3.1")</f>
        <v>3.1</v>
      </c>
      <c r="G1405" s="4" t="str">
        <f>HYPERLINK("http://141.218.60.56/~jnz1568/getInfo.php?workbook=14_06.xlsx&amp;sheet=U0&amp;row=1405&amp;col=7&amp;number=0.0136&amp;sourceID=14","0.0136")</f>
        <v>0.0136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HYPERLINK("http://141.218.60.56/~jnz1568/getInfo.php?workbook=14_06.xlsx&amp;sheet=U0&amp;row=1406&amp;col=6&amp;number=3.2&amp;sourceID=14","3.2")</f>
        <v>3.2</v>
      </c>
      <c r="G1406" s="4" t="str">
        <f>HYPERLINK("http://141.218.60.56/~jnz1568/getInfo.php?workbook=14_06.xlsx&amp;sheet=U0&amp;row=1406&amp;col=7&amp;number=0.0136&amp;sourceID=14","0.0136")</f>
        <v>0.0136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HYPERLINK("http://141.218.60.56/~jnz1568/getInfo.php?workbook=14_06.xlsx&amp;sheet=U0&amp;row=1407&amp;col=6&amp;number=3.3&amp;sourceID=14","3.3")</f>
        <v>3.3</v>
      </c>
      <c r="G1407" s="4" t="str">
        <f>HYPERLINK("http://141.218.60.56/~jnz1568/getInfo.php?workbook=14_06.xlsx&amp;sheet=U0&amp;row=1407&amp;col=7&amp;number=0.0136&amp;sourceID=14","0.0136")</f>
        <v>0.0136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HYPERLINK("http://141.218.60.56/~jnz1568/getInfo.php?workbook=14_06.xlsx&amp;sheet=U0&amp;row=1408&amp;col=6&amp;number=3.4&amp;sourceID=14","3.4")</f>
        <v>3.4</v>
      </c>
      <c r="G1408" s="4" t="str">
        <f>HYPERLINK("http://141.218.60.56/~jnz1568/getInfo.php?workbook=14_06.xlsx&amp;sheet=U0&amp;row=1408&amp;col=7&amp;number=0.0136&amp;sourceID=14","0.0136")</f>
        <v>0.0136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HYPERLINK("http://141.218.60.56/~jnz1568/getInfo.php?workbook=14_06.xlsx&amp;sheet=U0&amp;row=1409&amp;col=6&amp;number=3.5&amp;sourceID=14","3.5")</f>
        <v>3.5</v>
      </c>
      <c r="G1409" s="4" t="str">
        <f>HYPERLINK("http://141.218.60.56/~jnz1568/getInfo.php?workbook=14_06.xlsx&amp;sheet=U0&amp;row=1409&amp;col=7&amp;number=0.0136&amp;sourceID=14","0.0136")</f>
        <v>0.0136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HYPERLINK("http://141.218.60.56/~jnz1568/getInfo.php?workbook=14_06.xlsx&amp;sheet=U0&amp;row=1410&amp;col=6&amp;number=3.6&amp;sourceID=14","3.6")</f>
        <v>3.6</v>
      </c>
      <c r="G1410" s="4" t="str">
        <f>HYPERLINK("http://141.218.60.56/~jnz1568/getInfo.php?workbook=14_06.xlsx&amp;sheet=U0&amp;row=1410&amp;col=7&amp;number=0.0136&amp;sourceID=14","0.0136")</f>
        <v>0.0136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HYPERLINK("http://141.218.60.56/~jnz1568/getInfo.php?workbook=14_06.xlsx&amp;sheet=U0&amp;row=1411&amp;col=6&amp;number=3.7&amp;sourceID=14","3.7")</f>
        <v>3.7</v>
      </c>
      <c r="G1411" s="4" t="str">
        <f>HYPERLINK("http://141.218.60.56/~jnz1568/getInfo.php?workbook=14_06.xlsx&amp;sheet=U0&amp;row=1411&amp;col=7&amp;number=0.0136&amp;sourceID=14","0.0136")</f>
        <v>0.0136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HYPERLINK("http://141.218.60.56/~jnz1568/getInfo.php?workbook=14_06.xlsx&amp;sheet=U0&amp;row=1412&amp;col=6&amp;number=3.8&amp;sourceID=14","3.8")</f>
        <v>3.8</v>
      </c>
      <c r="G1412" s="4" t="str">
        <f>HYPERLINK("http://141.218.60.56/~jnz1568/getInfo.php?workbook=14_06.xlsx&amp;sheet=U0&amp;row=1412&amp;col=7&amp;number=0.0136&amp;sourceID=14","0.0136")</f>
        <v>0.0136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HYPERLINK("http://141.218.60.56/~jnz1568/getInfo.php?workbook=14_06.xlsx&amp;sheet=U0&amp;row=1413&amp;col=6&amp;number=3.9&amp;sourceID=14","3.9")</f>
        <v>3.9</v>
      </c>
      <c r="G1413" s="4" t="str">
        <f>HYPERLINK("http://141.218.60.56/~jnz1568/getInfo.php?workbook=14_06.xlsx&amp;sheet=U0&amp;row=1413&amp;col=7&amp;number=0.0136&amp;sourceID=14","0.0136")</f>
        <v>0.0136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HYPERLINK("http://141.218.60.56/~jnz1568/getInfo.php?workbook=14_06.xlsx&amp;sheet=U0&amp;row=1414&amp;col=6&amp;number=4&amp;sourceID=14","4")</f>
        <v>4</v>
      </c>
      <c r="G1414" s="4" t="str">
        <f>HYPERLINK("http://141.218.60.56/~jnz1568/getInfo.php?workbook=14_06.xlsx&amp;sheet=U0&amp;row=1414&amp;col=7&amp;number=0.0136&amp;sourceID=14","0.0136")</f>
        <v>0.0136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HYPERLINK("http://141.218.60.56/~jnz1568/getInfo.php?workbook=14_06.xlsx&amp;sheet=U0&amp;row=1415&amp;col=6&amp;number=4.1&amp;sourceID=14","4.1")</f>
        <v>4.1</v>
      </c>
      <c r="G1415" s="4" t="str">
        <f>HYPERLINK("http://141.218.60.56/~jnz1568/getInfo.php?workbook=14_06.xlsx&amp;sheet=U0&amp;row=1415&amp;col=7&amp;number=0.0136&amp;sourceID=14","0.0136")</f>
        <v>0.0136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HYPERLINK("http://141.218.60.56/~jnz1568/getInfo.php?workbook=14_06.xlsx&amp;sheet=U0&amp;row=1416&amp;col=6&amp;number=4.2&amp;sourceID=14","4.2")</f>
        <v>4.2</v>
      </c>
      <c r="G1416" s="4" t="str">
        <f>HYPERLINK("http://141.218.60.56/~jnz1568/getInfo.php?workbook=14_06.xlsx&amp;sheet=U0&amp;row=1416&amp;col=7&amp;number=0.0136&amp;sourceID=14","0.0136")</f>
        <v>0.0136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HYPERLINK("http://141.218.60.56/~jnz1568/getInfo.php?workbook=14_06.xlsx&amp;sheet=U0&amp;row=1417&amp;col=6&amp;number=4.3&amp;sourceID=14","4.3")</f>
        <v>4.3</v>
      </c>
      <c r="G1417" s="4" t="str">
        <f>HYPERLINK("http://141.218.60.56/~jnz1568/getInfo.php?workbook=14_06.xlsx&amp;sheet=U0&amp;row=1417&amp;col=7&amp;number=0.0136&amp;sourceID=14","0.0136")</f>
        <v>0.0136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HYPERLINK("http://141.218.60.56/~jnz1568/getInfo.php?workbook=14_06.xlsx&amp;sheet=U0&amp;row=1418&amp;col=6&amp;number=4.4&amp;sourceID=14","4.4")</f>
        <v>4.4</v>
      </c>
      <c r="G1418" s="4" t="str">
        <f>HYPERLINK("http://141.218.60.56/~jnz1568/getInfo.php?workbook=14_06.xlsx&amp;sheet=U0&amp;row=1418&amp;col=7&amp;number=0.0136&amp;sourceID=14","0.0136")</f>
        <v>0.0136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HYPERLINK("http://141.218.60.56/~jnz1568/getInfo.php?workbook=14_06.xlsx&amp;sheet=U0&amp;row=1419&amp;col=6&amp;number=4.5&amp;sourceID=14","4.5")</f>
        <v>4.5</v>
      </c>
      <c r="G1419" s="4" t="str">
        <f>HYPERLINK("http://141.218.60.56/~jnz1568/getInfo.php?workbook=14_06.xlsx&amp;sheet=U0&amp;row=1419&amp;col=7&amp;number=0.0136&amp;sourceID=14","0.0136")</f>
        <v>0.0136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HYPERLINK("http://141.218.60.56/~jnz1568/getInfo.php?workbook=14_06.xlsx&amp;sheet=U0&amp;row=1420&amp;col=6&amp;number=4.6&amp;sourceID=14","4.6")</f>
        <v>4.6</v>
      </c>
      <c r="G1420" s="4" t="str">
        <f>HYPERLINK("http://141.218.60.56/~jnz1568/getInfo.php?workbook=14_06.xlsx&amp;sheet=U0&amp;row=1420&amp;col=7&amp;number=0.0135&amp;sourceID=14","0.0135")</f>
        <v>0.0135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HYPERLINK("http://141.218.60.56/~jnz1568/getInfo.php?workbook=14_06.xlsx&amp;sheet=U0&amp;row=1421&amp;col=6&amp;number=4.7&amp;sourceID=14","4.7")</f>
        <v>4.7</v>
      </c>
      <c r="G1421" s="4" t="str">
        <f>HYPERLINK("http://141.218.60.56/~jnz1568/getInfo.php?workbook=14_06.xlsx&amp;sheet=U0&amp;row=1421&amp;col=7&amp;number=0.0135&amp;sourceID=14","0.0135")</f>
        <v>0.0135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HYPERLINK("http://141.218.60.56/~jnz1568/getInfo.php?workbook=14_06.xlsx&amp;sheet=U0&amp;row=1422&amp;col=6&amp;number=4.8&amp;sourceID=14","4.8")</f>
        <v>4.8</v>
      </c>
      <c r="G1422" s="4" t="str">
        <f>HYPERLINK("http://141.218.60.56/~jnz1568/getInfo.php?workbook=14_06.xlsx&amp;sheet=U0&amp;row=1422&amp;col=7&amp;number=0.0135&amp;sourceID=14","0.0135")</f>
        <v>0.0135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HYPERLINK("http://141.218.60.56/~jnz1568/getInfo.php?workbook=14_06.xlsx&amp;sheet=U0&amp;row=1423&amp;col=6&amp;number=4.9&amp;sourceID=14","4.9")</f>
        <v>4.9</v>
      </c>
      <c r="G1423" s="4" t="str">
        <f>HYPERLINK("http://141.218.60.56/~jnz1568/getInfo.php?workbook=14_06.xlsx&amp;sheet=U0&amp;row=1423&amp;col=7&amp;number=0.0135&amp;sourceID=14","0.0135")</f>
        <v>0.0135</v>
      </c>
    </row>
    <row r="1424" spans="1:7">
      <c r="A1424" s="3">
        <v>14</v>
      </c>
      <c r="B1424" s="3">
        <v>6</v>
      </c>
      <c r="C1424" s="3">
        <v>2</v>
      </c>
      <c r="D1424" s="3">
        <v>29</v>
      </c>
      <c r="E1424" s="3">
        <v>1</v>
      </c>
      <c r="F1424" s="4" t="str">
        <f>HYPERLINK("http://141.218.60.56/~jnz1568/getInfo.php?workbook=14_06.xlsx&amp;sheet=U0&amp;row=1424&amp;col=6&amp;number=3&amp;sourceID=14","3")</f>
        <v>3</v>
      </c>
      <c r="G1424" s="4" t="str">
        <f>HYPERLINK("http://141.218.60.56/~jnz1568/getInfo.php?workbook=14_06.xlsx&amp;sheet=U0&amp;row=1424&amp;col=7&amp;number=0.00755&amp;sourceID=14","0.00755")</f>
        <v>0.00755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HYPERLINK("http://141.218.60.56/~jnz1568/getInfo.php?workbook=14_06.xlsx&amp;sheet=U0&amp;row=1425&amp;col=6&amp;number=3.1&amp;sourceID=14","3.1")</f>
        <v>3.1</v>
      </c>
      <c r="G1425" s="4" t="str">
        <f>HYPERLINK("http://141.218.60.56/~jnz1568/getInfo.php?workbook=14_06.xlsx&amp;sheet=U0&amp;row=1425&amp;col=7&amp;number=0.00755&amp;sourceID=14","0.00755")</f>
        <v>0.00755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HYPERLINK("http://141.218.60.56/~jnz1568/getInfo.php?workbook=14_06.xlsx&amp;sheet=U0&amp;row=1426&amp;col=6&amp;number=3.2&amp;sourceID=14","3.2")</f>
        <v>3.2</v>
      </c>
      <c r="G1426" s="4" t="str">
        <f>HYPERLINK("http://141.218.60.56/~jnz1568/getInfo.php?workbook=14_06.xlsx&amp;sheet=U0&amp;row=1426&amp;col=7&amp;number=0.00755&amp;sourceID=14","0.00755")</f>
        <v>0.00755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HYPERLINK("http://141.218.60.56/~jnz1568/getInfo.php?workbook=14_06.xlsx&amp;sheet=U0&amp;row=1427&amp;col=6&amp;number=3.3&amp;sourceID=14","3.3")</f>
        <v>3.3</v>
      </c>
      <c r="G1427" s="4" t="str">
        <f>HYPERLINK("http://141.218.60.56/~jnz1568/getInfo.php?workbook=14_06.xlsx&amp;sheet=U0&amp;row=1427&amp;col=7&amp;number=0.00755&amp;sourceID=14","0.00755")</f>
        <v>0.00755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HYPERLINK("http://141.218.60.56/~jnz1568/getInfo.php?workbook=14_06.xlsx&amp;sheet=U0&amp;row=1428&amp;col=6&amp;number=3.4&amp;sourceID=14","3.4")</f>
        <v>3.4</v>
      </c>
      <c r="G1428" s="4" t="str">
        <f>HYPERLINK("http://141.218.60.56/~jnz1568/getInfo.php?workbook=14_06.xlsx&amp;sheet=U0&amp;row=1428&amp;col=7&amp;number=0.00755&amp;sourceID=14","0.00755")</f>
        <v>0.00755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HYPERLINK("http://141.218.60.56/~jnz1568/getInfo.php?workbook=14_06.xlsx&amp;sheet=U0&amp;row=1429&amp;col=6&amp;number=3.5&amp;sourceID=14","3.5")</f>
        <v>3.5</v>
      </c>
      <c r="G1429" s="4" t="str">
        <f>HYPERLINK("http://141.218.60.56/~jnz1568/getInfo.php?workbook=14_06.xlsx&amp;sheet=U0&amp;row=1429&amp;col=7&amp;number=0.00755&amp;sourceID=14","0.00755")</f>
        <v>0.00755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HYPERLINK("http://141.218.60.56/~jnz1568/getInfo.php?workbook=14_06.xlsx&amp;sheet=U0&amp;row=1430&amp;col=6&amp;number=3.6&amp;sourceID=14","3.6")</f>
        <v>3.6</v>
      </c>
      <c r="G1430" s="4" t="str">
        <f>HYPERLINK("http://141.218.60.56/~jnz1568/getInfo.php?workbook=14_06.xlsx&amp;sheet=U0&amp;row=1430&amp;col=7&amp;number=0.00755&amp;sourceID=14","0.00755")</f>
        <v>0.00755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HYPERLINK("http://141.218.60.56/~jnz1568/getInfo.php?workbook=14_06.xlsx&amp;sheet=U0&amp;row=1431&amp;col=6&amp;number=3.7&amp;sourceID=14","3.7")</f>
        <v>3.7</v>
      </c>
      <c r="G1431" s="4" t="str">
        <f>HYPERLINK("http://141.218.60.56/~jnz1568/getInfo.php?workbook=14_06.xlsx&amp;sheet=U0&amp;row=1431&amp;col=7&amp;number=0.00754&amp;sourceID=14","0.00754")</f>
        <v>0.00754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HYPERLINK("http://141.218.60.56/~jnz1568/getInfo.php?workbook=14_06.xlsx&amp;sheet=U0&amp;row=1432&amp;col=6&amp;number=3.8&amp;sourceID=14","3.8")</f>
        <v>3.8</v>
      </c>
      <c r="G1432" s="4" t="str">
        <f>HYPERLINK("http://141.218.60.56/~jnz1568/getInfo.php?workbook=14_06.xlsx&amp;sheet=U0&amp;row=1432&amp;col=7&amp;number=0.00754&amp;sourceID=14","0.00754")</f>
        <v>0.00754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HYPERLINK("http://141.218.60.56/~jnz1568/getInfo.php?workbook=14_06.xlsx&amp;sheet=U0&amp;row=1433&amp;col=6&amp;number=3.9&amp;sourceID=14","3.9")</f>
        <v>3.9</v>
      </c>
      <c r="G1433" s="4" t="str">
        <f>HYPERLINK("http://141.218.60.56/~jnz1568/getInfo.php?workbook=14_06.xlsx&amp;sheet=U0&amp;row=1433&amp;col=7&amp;number=0.00754&amp;sourceID=14","0.00754")</f>
        <v>0.00754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HYPERLINK("http://141.218.60.56/~jnz1568/getInfo.php?workbook=14_06.xlsx&amp;sheet=U0&amp;row=1434&amp;col=6&amp;number=4&amp;sourceID=14","4")</f>
        <v>4</v>
      </c>
      <c r="G1434" s="4" t="str">
        <f>HYPERLINK("http://141.218.60.56/~jnz1568/getInfo.php?workbook=14_06.xlsx&amp;sheet=U0&amp;row=1434&amp;col=7&amp;number=0.00754&amp;sourceID=14","0.00754")</f>
        <v>0.00754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HYPERLINK("http://141.218.60.56/~jnz1568/getInfo.php?workbook=14_06.xlsx&amp;sheet=U0&amp;row=1435&amp;col=6&amp;number=4.1&amp;sourceID=14","4.1")</f>
        <v>4.1</v>
      </c>
      <c r="G1435" s="4" t="str">
        <f>HYPERLINK("http://141.218.60.56/~jnz1568/getInfo.php?workbook=14_06.xlsx&amp;sheet=U0&amp;row=1435&amp;col=7&amp;number=0.00753&amp;sourceID=14","0.00753")</f>
        <v>0.00753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HYPERLINK("http://141.218.60.56/~jnz1568/getInfo.php?workbook=14_06.xlsx&amp;sheet=U0&amp;row=1436&amp;col=6&amp;number=4.2&amp;sourceID=14","4.2")</f>
        <v>4.2</v>
      </c>
      <c r="G1436" s="4" t="str">
        <f>HYPERLINK("http://141.218.60.56/~jnz1568/getInfo.php?workbook=14_06.xlsx&amp;sheet=U0&amp;row=1436&amp;col=7&amp;number=0.00753&amp;sourceID=14","0.00753")</f>
        <v>0.00753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HYPERLINK("http://141.218.60.56/~jnz1568/getInfo.php?workbook=14_06.xlsx&amp;sheet=U0&amp;row=1437&amp;col=6&amp;number=4.3&amp;sourceID=14","4.3")</f>
        <v>4.3</v>
      </c>
      <c r="G1437" s="4" t="str">
        <f>HYPERLINK("http://141.218.60.56/~jnz1568/getInfo.php?workbook=14_06.xlsx&amp;sheet=U0&amp;row=1437&amp;col=7&amp;number=0.00752&amp;sourceID=14","0.00752")</f>
        <v>0.00752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HYPERLINK("http://141.218.60.56/~jnz1568/getInfo.php?workbook=14_06.xlsx&amp;sheet=U0&amp;row=1438&amp;col=6&amp;number=4.4&amp;sourceID=14","4.4")</f>
        <v>4.4</v>
      </c>
      <c r="G1438" s="4" t="str">
        <f>HYPERLINK("http://141.218.60.56/~jnz1568/getInfo.php?workbook=14_06.xlsx&amp;sheet=U0&amp;row=1438&amp;col=7&amp;number=0.00751&amp;sourceID=14","0.00751")</f>
        <v>0.00751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HYPERLINK("http://141.218.60.56/~jnz1568/getInfo.php?workbook=14_06.xlsx&amp;sheet=U0&amp;row=1439&amp;col=6&amp;number=4.5&amp;sourceID=14","4.5")</f>
        <v>4.5</v>
      </c>
      <c r="G1439" s="4" t="str">
        <f>HYPERLINK("http://141.218.60.56/~jnz1568/getInfo.php?workbook=14_06.xlsx&amp;sheet=U0&amp;row=1439&amp;col=7&amp;number=0.0075&amp;sourceID=14","0.0075")</f>
        <v>0.0075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HYPERLINK("http://141.218.60.56/~jnz1568/getInfo.php?workbook=14_06.xlsx&amp;sheet=U0&amp;row=1440&amp;col=6&amp;number=4.6&amp;sourceID=14","4.6")</f>
        <v>4.6</v>
      </c>
      <c r="G1440" s="4" t="str">
        <f>HYPERLINK("http://141.218.60.56/~jnz1568/getInfo.php?workbook=14_06.xlsx&amp;sheet=U0&amp;row=1440&amp;col=7&amp;number=0.00749&amp;sourceID=14","0.00749")</f>
        <v>0.00749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HYPERLINK("http://141.218.60.56/~jnz1568/getInfo.php?workbook=14_06.xlsx&amp;sheet=U0&amp;row=1441&amp;col=6&amp;number=4.7&amp;sourceID=14","4.7")</f>
        <v>4.7</v>
      </c>
      <c r="G1441" s="4" t="str">
        <f>HYPERLINK("http://141.218.60.56/~jnz1568/getInfo.php?workbook=14_06.xlsx&amp;sheet=U0&amp;row=1441&amp;col=7&amp;number=0.00747&amp;sourceID=14","0.00747")</f>
        <v>0.00747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HYPERLINK("http://141.218.60.56/~jnz1568/getInfo.php?workbook=14_06.xlsx&amp;sheet=U0&amp;row=1442&amp;col=6&amp;number=4.8&amp;sourceID=14","4.8")</f>
        <v>4.8</v>
      </c>
      <c r="G1442" s="4" t="str">
        <f>HYPERLINK("http://141.218.60.56/~jnz1568/getInfo.php?workbook=14_06.xlsx&amp;sheet=U0&amp;row=1442&amp;col=7&amp;number=0.00745&amp;sourceID=14","0.00745")</f>
        <v>0.00745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HYPERLINK("http://141.218.60.56/~jnz1568/getInfo.php?workbook=14_06.xlsx&amp;sheet=U0&amp;row=1443&amp;col=6&amp;number=4.9&amp;sourceID=14","4.9")</f>
        <v>4.9</v>
      </c>
      <c r="G1443" s="4" t="str">
        <f>HYPERLINK("http://141.218.60.56/~jnz1568/getInfo.php?workbook=14_06.xlsx&amp;sheet=U0&amp;row=1443&amp;col=7&amp;number=0.00743&amp;sourceID=14","0.00743")</f>
        <v>0.00743</v>
      </c>
    </row>
    <row r="1444" spans="1:7">
      <c r="A1444" s="3">
        <v>14</v>
      </c>
      <c r="B1444" s="3">
        <v>6</v>
      </c>
      <c r="C1444" s="3">
        <v>2</v>
      </c>
      <c r="D1444" s="3">
        <v>30</v>
      </c>
      <c r="E1444" s="3">
        <v>1</v>
      </c>
      <c r="F1444" s="4" t="str">
        <f>HYPERLINK("http://141.218.60.56/~jnz1568/getInfo.php?workbook=14_06.xlsx&amp;sheet=U0&amp;row=1444&amp;col=6&amp;number=3&amp;sourceID=14","3")</f>
        <v>3</v>
      </c>
      <c r="G1444" s="4" t="str">
        <f>HYPERLINK("http://141.218.60.56/~jnz1568/getInfo.php?workbook=14_06.xlsx&amp;sheet=U0&amp;row=1444&amp;col=7&amp;number=0.00618&amp;sourceID=14","0.00618")</f>
        <v>0.00618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HYPERLINK("http://141.218.60.56/~jnz1568/getInfo.php?workbook=14_06.xlsx&amp;sheet=U0&amp;row=1445&amp;col=6&amp;number=3.1&amp;sourceID=14","3.1")</f>
        <v>3.1</v>
      </c>
      <c r="G1445" s="4" t="str">
        <f>HYPERLINK("http://141.218.60.56/~jnz1568/getInfo.php?workbook=14_06.xlsx&amp;sheet=U0&amp;row=1445&amp;col=7&amp;number=0.00618&amp;sourceID=14","0.00618")</f>
        <v>0.00618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HYPERLINK("http://141.218.60.56/~jnz1568/getInfo.php?workbook=14_06.xlsx&amp;sheet=U0&amp;row=1446&amp;col=6&amp;number=3.2&amp;sourceID=14","3.2")</f>
        <v>3.2</v>
      </c>
      <c r="G1446" s="4" t="str">
        <f>HYPERLINK("http://141.218.60.56/~jnz1568/getInfo.php?workbook=14_06.xlsx&amp;sheet=U0&amp;row=1446&amp;col=7&amp;number=0.00618&amp;sourceID=14","0.00618")</f>
        <v>0.00618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HYPERLINK("http://141.218.60.56/~jnz1568/getInfo.php?workbook=14_06.xlsx&amp;sheet=U0&amp;row=1447&amp;col=6&amp;number=3.3&amp;sourceID=14","3.3")</f>
        <v>3.3</v>
      </c>
      <c r="G1447" s="4" t="str">
        <f>HYPERLINK("http://141.218.60.56/~jnz1568/getInfo.php?workbook=14_06.xlsx&amp;sheet=U0&amp;row=1447&amp;col=7&amp;number=0.00618&amp;sourceID=14","0.00618")</f>
        <v>0.00618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HYPERLINK("http://141.218.60.56/~jnz1568/getInfo.php?workbook=14_06.xlsx&amp;sheet=U0&amp;row=1448&amp;col=6&amp;number=3.4&amp;sourceID=14","3.4")</f>
        <v>3.4</v>
      </c>
      <c r="G1448" s="4" t="str">
        <f>HYPERLINK("http://141.218.60.56/~jnz1568/getInfo.php?workbook=14_06.xlsx&amp;sheet=U0&amp;row=1448&amp;col=7&amp;number=0.00617&amp;sourceID=14","0.00617")</f>
        <v>0.00617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HYPERLINK("http://141.218.60.56/~jnz1568/getInfo.php?workbook=14_06.xlsx&amp;sheet=U0&amp;row=1449&amp;col=6&amp;number=3.5&amp;sourceID=14","3.5")</f>
        <v>3.5</v>
      </c>
      <c r="G1449" s="4" t="str">
        <f>HYPERLINK("http://141.218.60.56/~jnz1568/getInfo.php?workbook=14_06.xlsx&amp;sheet=U0&amp;row=1449&amp;col=7&amp;number=0.00617&amp;sourceID=14","0.00617")</f>
        <v>0.00617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HYPERLINK("http://141.218.60.56/~jnz1568/getInfo.php?workbook=14_06.xlsx&amp;sheet=U0&amp;row=1450&amp;col=6&amp;number=3.6&amp;sourceID=14","3.6")</f>
        <v>3.6</v>
      </c>
      <c r="G1450" s="4" t="str">
        <f>HYPERLINK("http://141.218.60.56/~jnz1568/getInfo.php?workbook=14_06.xlsx&amp;sheet=U0&amp;row=1450&amp;col=7&amp;number=0.00617&amp;sourceID=14","0.00617")</f>
        <v>0.00617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HYPERLINK("http://141.218.60.56/~jnz1568/getInfo.php?workbook=14_06.xlsx&amp;sheet=U0&amp;row=1451&amp;col=6&amp;number=3.7&amp;sourceID=14","3.7")</f>
        <v>3.7</v>
      </c>
      <c r="G1451" s="4" t="str">
        <f>HYPERLINK("http://141.218.60.56/~jnz1568/getInfo.php?workbook=14_06.xlsx&amp;sheet=U0&amp;row=1451&amp;col=7&amp;number=0.00617&amp;sourceID=14","0.00617")</f>
        <v>0.00617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HYPERLINK("http://141.218.60.56/~jnz1568/getInfo.php?workbook=14_06.xlsx&amp;sheet=U0&amp;row=1452&amp;col=6&amp;number=3.8&amp;sourceID=14","3.8")</f>
        <v>3.8</v>
      </c>
      <c r="G1452" s="4" t="str">
        <f>HYPERLINK("http://141.218.60.56/~jnz1568/getInfo.php?workbook=14_06.xlsx&amp;sheet=U0&amp;row=1452&amp;col=7&amp;number=0.00617&amp;sourceID=14","0.00617")</f>
        <v>0.00617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HYPERLINK("http://141.218.60.56/~jnz1568/getInfo.php?workbook=14_06.xlsx&amp;sheet=U0&amp;row=1453&amp;col=6&amp;number=3.9&amp;sourceID=14","3.9")</f>
        <v>3.9</v>
      </c>
      <c r="G1453" s="4" t="str">
        <f>HYPERLINK("http://141.218.60.56/~jnz1568/getInfo.php?workbook=14_06.xlsx&amp;sheet=U0&amp;row=1453&amp;col=7&amp;number=0.00616&amp;sourceID=14","0.00616")</f>
        <v>0.00616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HYPERLINK("http://141.218.60.56/~jnz1568/getInfo.php?workbook=14_06.xlsx&amp;sheet=U0&amp;row=1454&amp;col=6&amp;number=4&amp;sourceID=14","4")</f>
        <v>4</v>
      </c>
      <c r="G1454" s="4" t="str">
        <f>HYPERLINK("http://141.218.60.56/~jnz1568/getInfo.php?workbook=14_06.xlsx&amp;sheet=U0&amp;row=1454&amp;col=7&amp;number=0.00616&amp;sourceID=14","0.00616")</f>
        <v>0.00616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HYPERLINK("http://141.218.60.56/~jnz1568/getInfo.php?workbook=14_06.xlsx&amp;sheet=U0&amp;row=1455&amp;col=6&amp;number=4.1&amp;sourceID=14","4.1")</f>
        <v>4.1</v>
      </c>
      <c r="G1455" s="4" t="str">
        <f>HYPERLINK("http://141.218.60.56/~jnz1568/getInfo.php?workbook=14_06.xlsx&amp;sheet=U0&amp;row=1455&amp;col=7&amp;number=0.00615&amp;sourceID=14","0.00615")</f>
        <v>0.00615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HYPERLINK("http://141.218.60.56/~jnz1568/getInfo.php?workbook=14_06.xlsx&amp;sheet=U0&amp;row=1456&amp;col=6&amp;number=4.2&amp;sourceID=14","4.2")</f>
        <v>4.2</v>
      </c>
      <c r="G1456" s="4" t="str">
        <f>HYPERLINK("http://141.218.60.56/~jnz1568/getInfo.php?workbook=14_06.xlsx&amp;sheet=U0&amp;row=1456&amp;col=7&amp;number=0.00614&amp;sourceID=14","0.00614")</f>
        <v>0.00614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HYPERLINK("http://141.218.60.56/~jnz1568/getInfo.php?workbook=14_06.xlsx&amp;sheet=U0&amp;row=1457&amp;col=6&amp;number=4.3&amp;sourceID=14","4.3")</f>
        <v>4.3</v>
      </c>
      <c r="G1457" s="4" t="str">
        <f>HYPERLINK("http://141.218.60.56/~jnz1568/getInfo.php?workbook=14_06.xlsx&amp;sheet=U0&amp;row=1457&amp;col=7&amp;number=0.00613&amp;sourceID=14","0.00613")</f>
        <v>0.00613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HYPERLINK("http://141.218.60.56/~jnz1568/getInfo.php?workbook=14_06.xlsx&amp;sheet=U0&amp;row=1458&amp;col=6&amp;number=4.4&amp;sourceID=14","4.4")</f>
        <v>4.4</v>
      </c>
      <c r="G1458" s="4" t="str">
        <f>HYPERLINK("http://141.218.60.56/~jnz1568/getInfo.php?workbook=14_06.xlsx&amp;sheet=U0&amp;row=1458&amp;col=7&amp;number=0.00612&amp;sourceID=14","0.00612")</f>
        <v>0.00612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HYPERLINK("http://141.218.60.56/~jnz1568/getInfo.php?workbook=14_06.xlsx&amp;sheet=U0&amp;row=1459&amp;col=6&amp;number=4.5&amp;sourceID=14","4.5")</f>
        <v>4.5</v>
      </c>
      <c r="G1459" s="4" t="str">
        <f>HYPERLINK("http://141.218.60.56/~jnz1568/getInfo.php?workbook=14_06.xlsx&amp;sheet=U0&amp;row=1459&amp;col=7&amp;number=0.00611&amp;sourceID=14","0.00611")</f>
        <v>0.00611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HYPERLINK("http://141.218.60.56/~jnz1568/getInfo.php?workbook=14_06.xlsx&amp;sheet=U0&amp;row=1460&amp;col=6&amp;number=4.6&amp;sourceID=14","4.6")</f>
        <v>4.6</v>
      </c>
      <c r="G1460" s="4" t="str">
        <f>HYPERLINK("http://141.218.60.56/~jnz1568/getInfo.php?workbook=14_06.xlsx&amp;sheet=U0&amp;row=1460&amp;col=7&amp;number=0.00609&amp;sourceID=14","0.00609")</f>
        <v>0.00609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HYPERLINK("http://141.218.60.56/~jnz1568/getInfo.php?workbook=14_06.xlsx&amp;sheet=U0&amp;row=1461&amp;col=6&amp;number=4.7&amp;sourceID=14","4.7")</f>
        <v>4.7</v>
      </c>
      <c r="G1461" s="4" t="str">
        <f>HYPERLINK("http://141.218.60.56/~jnz1568/getInfo.php?workbook=14_06.xlsx&amp;sheet=U0&amp;row=1461&amp;col=7&amp;number=0.00606&amp;sourceID=14","0.00606")</f>
        <v>0.00606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HYPERLINK("http://141.218.60.56/~jnz1568/getInfo.php?workbook=14_06.xlsx&amp;sheet=U0&amp;row=1462&amp;col=6&amp;number=4.8&amp;sourceID=14","4.8")</f>
        <v>4.8</v>
      </c>
      <c r="G1462" s="4" t="str">
        <f>HYPERLINK("http://141.218.60.56/~jnz1568/getInfo.php?workbook=14_06.xlsx&amp;sheet=U0&amp;row=1462&amp;col=7&amp;number=0.00603&amp;sourceID=14","0.00603")</f>
        <v>0.00603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HYPERLINK("http://141.218.60.56/~jnz1568/getInfo.php?workbook=14_06.xlsx&amp;sheet=U0&amp;row=1463&amp;col=6&amp;number=4.9&amp;sourceID=14","4.9")</f>
        <v>4.9</v>
      </c>
      <c r="G1463" s="4" t="str">
        <f>HYPERLINK("http://141.218.60.56/~jnz1568/getInfo.php?workbook=14_06.xlsx&amp;sheet=U0&amp;row=1463&amp;col=7&amp;number=0.00599&amp;sourceID=14","0.00599")</f>
        <v>0.00599</v>
      </c>
    </row>
    <row r="1464" spans="1:7">
      <c r="A1464" s="3">
        <v>14</v>
      </c>
      <c r="B1464" s="3">
        <v>6</v>
      </c>
      <c r="C1464" s="3">
        <v>2</v>
      </c>
      <c r="D1464" s="3">
        <v>31</v>
      </c>
      <c r="E1464" s="3">
        <v>1</v>
      </c>
      <c r="F1464" s="4" t="str">
        <f>HYPERLINK("http://141.218.60.56/~jnz1568/getInfo.php?workbook=14_06.xlsx&amp;sheet=U0&amp;row=1464&amp;col=6&amp;number=3&amp;sourceID=14","3")</f>
        <v>3</v>
      </c>
      <c r="G1464" s="4" t="str">
        <f>HYPERLINK("http://141.218.60.56/~jnz1568/getInfo.php?workbook=14_06.xlsx&amp;sheet=U0&amp;row=1464&amp;col=7&amp;number=0.159&amp;sourceID=14","0.159")</f>
        <v>0.159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HYPERLINK("http://141.218.60.56/~jnz1568/getInfo.php?workbook=14_06.xlsx&amp;sheet=U0&amp;row=1465&amp;col=6&amp;number=3.1&amp;sourceID=14","3.1")</f>
        <v>3.1</v>
      </c>
      <c r="G1465" s="4" t="str">
        <f>HYPERLINK("http://141.218.60.56/~jnz1568/getInfo.php?workbook=14_06.xlsx&amp;sheet=U0&amp;row=1465&amp;col=7&amp;number=0.159&amp;sourceID=14","0.159")</f>
        <v>0.159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HYPERLINK("http://141.218.60.56/~jnz1568/getInfo.php?workbook=14_06.xlsx&amp;sheet=U0&amp;row=1466&amp;col=6&amp;number=3.2&amp;sourceID=14","3.2")</f>
        <v>3.2</v>
      </c>
      <c r="G1466" s="4" t="str">
        <f>HYPERLINK("http://141.218.60.56/~jnz1568/getInfo.php?workbook=14_06.xlsx&amp;sheet=U0&amp;row=1466&amp;col=7&amp;number=0.159&amp;sourceID=14","0.159")</f>
        <v>0.159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HYPERLINK("http://141.218.60.56/~jnz1568/getInfo.php?workbook=14_06.xlsx&amp;sheet=U0&amp;row=1467&amp;col=6&amp;number=3.3&amp;sourceID=14","3.3")</f>
        <v>3.3</v>
      </c>
      <c r="G1467" s="4" t="str">
        <f>HYPERLINK("http://141.218.60.56/~jnz1568/getInfo.php?workbook=14_06.xlsx&amp;sheet=U0&amp;row=1467&amp;col=7&amp;number=0.159&amp;sourceID=14","0.159")</f>
        <v>0.159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HYPERLINK("http://141.218.60.56/~jnz1568/getInfo.php?workbook=14_06.xlsx&amp;sheet=U0&amp;row=1468&amp;col=6&amp;number=3.4&amp;sourceID=14","3.4")</f>
        <v>3.4</v>
      </c>
      <c r="G1468" s="4" t="str">
        <f>HYPERLINK("http://141.218.60.56/~jnz1568/getInfo.php?workbook=14_06.xlsx&amp;sheet=U0&amp;row=1468&amp;col=7&amp;number=0.159&amp;sourceID=14","0.159")</f>
        <v>0.159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HYPERLINK("http://141.218.60.56/~jnz1568/getInfo.php?workbook=14_06.xlsx&amp;sheet=U0&amp;row=1469&amp;col=6&amp;number=3.5&amp;sourceID=14","3.5")</f>
        <v>3.5</v>
      </c>
      <c r="G1469" s="4" t="str">
        <f>HYPERLINK("http://141.218.60.56/~jnz1568/getInfo.php?workbook=14_06.xlsx&amp;sheet=U0&amp;row=1469&amp;col=7&amp;number=0.159&amp;sourceID=14","0.159")</f>
        <v>0.159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HYPERLINK("http://141.218.60.56/~jnz1568/getInfo.php?workbook=14_06.xlsx&amp;sheet=U0&amp;row=1470&amp;col=6&amp;number=3.6&amp;sourceID=14","3.6")</f>
        <v>3.6</v>
      </c>
      <c r="G1470" s="4" t="str">
        <f>HYPERLINK("http://141.218.60.56/~jnz1568/getInfo.php?workbook=14_06.xlsx&amp;sheet=U0&amp;row=1470&amp;col=7&amp;number=0.159&amp;sourceID=14","0.159")</f>
        <v>0.159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HYPERLINK("http://141.218.60.56/~jnz1568/getInfo.php?workbook=14_06.xlsx&amp;sheet=U0&amp;row=1471&amp;col=6&amp;number=3.7&amp;sourceID=14","3.7")</f>
        <v>3.7</v>
      </c>
      <c r="G1471" s="4" t="str">
        <f>HYPERLINK("http://141.218.60.56/~jnz1568/getInfo.php?workbook=14_06.xlsx&amp;sheet=U0&amp;row=1471&amp;col=7&amp;number=0.159&amp;sourceID=14","0.159")</f>
        <v>0.159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HYPERLINK("http://141.218.60.56/~jnz1568/getInfo.php?workbook=14_06.xlsx&amp;sheet=U0&amp;row=1472&amp;col=6&amp;number=3.8&amp;sourceID=14","3.8")</f>
        <v>3.8</v>
      </c>
      <c r="G1472" s="4" t="str">
        <f>HYPERLINK("http://141.218.60.56/~jnz1568/getInfo.php?workbook=14_06.xlsx&amp;sheet=U0&amp;row=1472&amp;col=7&amp;number=0.16&amp;sourceID=14","0.16")</f>
        <v>0.16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HYPERLINK("http://141.218.60.56/~jnz1568/getInfo.php?workbook=14_06.xlsx&amp;sheet=U0&amp;row=1473&amp;col=6&amp;number=3.9&amp;sourceID=14","3.9")</f>
        <v>3.9</v>
      </c>
      <c r="G1473" s="4" t="str">
        <f>HYPERLINK("http://141.218.60.56/~jnz1568/getInfo.php?workbook=14_06.xlsx&amp;sheet=U0&amp;row=1473&amp;col=7&amp;number=0.16&amp;sourceID=14","0.16")</f>
        <v>0.16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HYPERLINK("http://141.218.60.56/~jnz1568/getInfo.php?workbook=14_06.xlsx&amp;sheet=U0&amp;row=1474&amp;col=6&amp;number=4&amp;sourceID=14","4")</f>
        <v>4</v>
      </c>
      <c r="G1474" s="4" t="str">
        <f>HYPERLINK("http://141.218.60.56/~jnz1568/getInfo.php?workbook=14_06.xlsx&amp;sheet=U0&amp;row=1474&amp;col=7&amp;number=0.16&amp;sourceID=14","0.16")</f>
        <v>0.16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HYPERLINK("http://141.218.60.56/~jnz1568/getInfo.php?workbook=14_06.xlsx&amp;sheet=U0&amp;row=1475&amp;col=6&amp;number=4.1&amp;sourceID=14","4.1")</f>
        <v>4.1</v>
      </c>
      <c r="G1475" s="4" t="str">
        <f>HYPERLINK("http://141.218.60.56/~jnz1568/getInfo.php?workbook=14_06.xlsx&amp;sheet=U0&amp;row=1475&amp;col=7&amp;number=0.16&amp;sourceID=14","0.16")</f>
        <v>0.16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HYPERLINK("http://141.218.60.56/~jnz1568/getInfo.php?workbook=14_06.xlsx&amp;sheet=U0&amp;row=1476&amp;col=6&amp;number=4.2&amp;sourceID=14","4.2")</f>
        <v>4.2</v>
      </c>
      <c r="G1476" s="4" t="str">
        <f>HYPERLINK("http://141.218.60.56/~jnz1568/getInfo.php?workbook=14_06.xlsx&amp;sheet=U0&amp;row=1476&amp;col=7&amp;number=0.16&amp;sourceID=14","0.16")</f>
        <v>0.16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HYPERLINK("http://141.218.60.56/~jnz1568/getInfo.php?workbook=14_06.xlsx&amp;sheet=U0&amp;row=1477&amp;col=6&amp;number=4.3&amp;sourceID=14","4.3")</f>
        <v>4.3</v>
      </c>
      <c r="G1477" s="4" t="str">
        <f>HYPERLINK("http://141.218.60.56/~jnz1568/getInfo.php?workbook=14_06.xlsx&amp;sheet=U0&amp;row=1477&amp;col=7&amp;number=0.16&amp;sourceID=14","0.16")</f>
        <v>0.16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HYPERLINK("http://141.218.60.56/~jnz1568/getInfo.php?workbook=14_06.xlsx&amp;sheet=U0&amp;row=1478&amp;col=6&amp;number=4.4&amp;sourceID=14","4.4")</f>
        <v>4.4</v>
      </c>
      <c r="G1478" s="4" t="str">
        <f>HYPERLINK("http://141.218.60.56/~jnz1568/getInfo.php?workbook=14_06.xlsx&amp;sheet=U0&amp;row=1478&amp;col=7&amp;number=0.16&amp;sourceID=14","0.16")</f>
        <v>0.16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HYPERLINK("http://141.218.60.56/~jnz1568/getInfo.php?workbook=14_06.xlsx&amp;sheet=U0&amp;row=1479&amp;col=6&amp;number=4.5&amp;sourceID=14","4.5")</f>
        <v>4.5</v>
      </c>
      <c r="G1479" s="4" t="str">
        <f>HYPERLINK("http://141.218.60.56/~jnz1568/getInfo.php?workbook=14_06.xlsx&amp;sheet=U0&amp;row=1479&amp;col=7&amp;number=0.16&amp;sourceID=14","0.16")</f>
        <v>0.16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HYPERLINK("http://141.218.60.56/~jnz1568/getInfo.php?workbook=14_06.xlsx&amp;sheet=U0&amp;row=1480&amp;col=6&amp;number=4.6&amp;sourceID=14","4.6")</f>
        <v>4.6</v>
      </c>
      <c r="G1480" s="4" t="str">
        <f>HYPERLINK("http://141.218.60.56/~jnz1568/getInfo.php?workbook=14_06.xlsx&amp;sheet=U0&amp;row=1480&amp;col=7&amp;number=0.16&amp;sourceID=14","0.16")</f>
        <v>0.16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HYPERLINK("http://141.218.60.56/~jnz1568/getInfo.php?workbook=14_06.xlsx&amp;sheet=U0&amp;row=1481&amp;col=6&amp;number=4.7&amp;sourceID=14","4.7")</f>
        <v>4.7</v>
      </c>
      <c r="G1481" s="4" t="str">
        <f>HYPERLINK("http://141.218.60.56/~jnz1568/getInfo.php?workbook=14_06.xlsx&amp;sheet=U0&amp;row=1481&amp;col=7&amp;number=0.16&amp;sourceID=14","0.16")</f>
        <v>0.16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HYPERLINK("http://141.218.60.56/~jnz1568/getInfo.php?workbook=14_06.xlsx&amp;sheet=U0&amp;row=1482&amp;col=6&amp;number=4.8&amp;sourceID=14","4.8")</f>
        <v>4.8</v>
      </c>
      <c r="G1482" s="4" t="str">
        <f>HYPERLINK("http://141.218.60.56/~jnz1568/getInfo.php?workbook=14_06.xlsx&amp;sheet=U0&amp;row=1482&amp;col=7&amp;number=0.16&amp;sourceID=14","0.16")</f>
        <v>0.16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HYPERLINK("http://141.218.60.56/~jnz1568/getInfo.php?workbook=14_06.xlsx&amp;sheet=U0&amp;row=1483&amp;col=6&amp;number=4.9&amp;sourceID=14","4.9")</f>
        <v>4.9</v>
      </c>
      <c r="G1483" s="4" t="str">
        <f>HYPERLINK("http://141.218.60.56/~jnz1568/getInfo.php?workbook=14_06.xlsx&amp;sheet=U0&amp;row=1483&amp;col=7&amp;number=0.161&amp;sourceID=14","0.161")</f>
        <v>0.161</v>
      </c>
    </row>
    <row r="1484" spans="1:7">
      <c r="A1484" s="3">
        <v>14</v>
      </c>
      <c r="B1484" s="3">
        <v>6</v>
      </c>
      <c r="C1484" s="3">
        <v>2</v>
      </c>
      <c r="D1484" s="3">
        <v>32</v>
      </c>
      <c r="E1484" s="3">
        <v>1</v>
      </c>
      <c r="F1484" s="4" t="str">
        <f>HYPERLINK("http://141.218.60.56/~jnz1568/getInfo.php?workbook=14_06.xlsx&amp;sheet=U0&amp;row=1484&amp;col=6&amp;number=3&amp;sourceID=14","3")</f>
        <v>3</v>
      </c>
      <c r="G1484" s="4" t="str">
        <f>HYPERLINK("http://141.218.60.56/~jnz1568/getInfo.php?workbook=14_06.xlsx&amp;sheet=U0&amp;row=1484&amp;col=7&amp;number=0.0157&amp;sourceID=14","0.0157")</f>
        <v>0.0157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HYPERLINK("http://141.218.60.56/~jnz1568/getInfo.php?workbook=14_06.xlsx&amp;sheet=U0&amp;row=1485&amp;col=6&amp;number=3.1&amp;sourceID=14","3.1")</f>
        <v>3.1</v>
      </c>
      <c r="G1485" s="4" t="str">
        <f>HYPERLINK("http://141.218.60.56/~jnz1568/getInfo.php?workbook=14_06.xlsx&amp;sheet=U0&amp;row=1485&amp;col=7&amp;number=0.0157&amp;sourceID=14","0.0157")</f>
        <v>0.0157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HYPERLINK("http://141.218.60.56/~jnz1568/getInfo.php?workbook=14_06.xlsx&amp;sheet=U0&amp;row=1486&amp;col=6&amp;number=3.2&amp;sourceID=14","3.2")</f>
        <v>3.2</v>
      </c>
      <c r="G1486" s="4" t="str">
        <f>HYPERLINK("http://141.218.60.56/~jnz1568/getInfo.php?workbook=14_06.xlsx&amp;sheet=U0&amp;row=1486&amp;col=7&amp;number=0.0157&amp;sourceID=14","0.0157")</f>
        <v>0.0157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HYPERLINK("http://141.218.60.56/~jnz1568/getInfo.php?workbook=14_06.xlsx&amp;sheet=U0&amp;row=1487&amp;col=6&amp;number=3.3&amp;sourceID=14","3.3")</f>
        <v>3.3</v>
      </c>
      <c r="G1487" s="4" t="str">
        <f>HYPERLINK("http://141.218.60.56/~jnz1568/getInfo.php?workbook=14_06.xlsx&amp;sheet=U0&amp;row=1487&amp;col=7&amp;number=0.0157&amp;sourceID=14","0.0157")</f>
        <v>0.0157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HYPERLINK("http://141.218.60.56/~jnz1568/getInfo.php?workbook=14_06.xlsx&amp;sheet=U0&amp;row=1488&amp;col=6&amp;number=3.4&amp;sourceID=14","3.4")</f>
        <v>3.4</v>
      </c>
      <c r="G1488" s="4" t="str">
        <f>HYPERLINK("http://141.218.60.56/~jnz1568/getInfo.php?workbook=14_06.xlsx&amp;sheet=U0&amp;row=1488&amp;col=7&amp;number=0.0157&amp;sourceID=14","0.0157")</f>
        <v>0.0157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HYPERLINK("http://141.218.60.56/~jnz1568/getInfo.php?workbook=14_06.xlsx&amp;sheet=U0&amp;row=1489&amp;col=6&amp;number=3.5&amp;sourceID=14","3.5")</f>
        <v>3.5</v>
      </c>
      <c r="G1489" s="4" t="str">
        <f>HYPERLINK("http://141.218.60.56/~jnz1568/getInfo.php?workbook=14_06.xlsx&amp;sheet=U0&amp;row=1489&amp;col=7&amp;number=0.0157&amp;sourceID=14","0.0157")</f>
        <v>0.0157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HYPERLINK("http://141.218.60.56/~jnz1568/getInfo.php?workbook=14_06.xlsx&amp;sheet=U0&amp;row=1490&amp;col=6&amp;number=3.6&amp;sourceID=14","3.6")</f>
        <v>3.6</v>
      </c>
      <c r="G1490" s="4" t="str">
        <f>HYPERLINK("http://141.218.60.56/~jnz1568/getInfo.php?workbook=14_06.xlsx&amp;sheet=U0&amp;row=1490&amp;col=7&amp;number=0.0157&amp;sourceID=14","0.0157")</f>
        <v>0.0157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HYPERLINK("http://141.218.60.56/~jnz1568/getInfo.php?workbook=14_06.xlsx&amp;sheet=U0&amp;row=1491&amp;col=6&amp;number=3.7&amp;sourceID=14","3.7")</f>
        <v>3.7</v>
      </c>
      <c r="G1491" s="4" t="str">
        <f>HYPERLINK("http://141.218.60.56/~jnz1568/getInfo.php?workbook=14_06.xlsx&amp;sheet=U0&amp;row=1491&amp;col=7&amp;number=0.0157&amp;sourceID=14","0.0157")</f>
        <v>0.0157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HYPERLINK("http://141.218.60.56/~jnz1568/getInfo.php?workbook=14_06.xlsx&amp;sheet=U0&amp;row=1492&amp;col=6&amp;number=3.8&amp;sourceID=14","3.8")</f>
        <v>3.8</v>
      </c>
      <c r="G1492" s="4" t="str">
        <f>HYPERLINK("http://141.218.60.56/~jnz1568/getInfo.php?workbook=14_06.xlsx&amp;sheet=U0&amp;row=1492&amp;col=7&amp;number=0.0157&amp;sourceID=14","0.0157")</f>
        <v>0.0157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HYPERLINK("http://141.218.60.56/~jnz1568/getInfo.php?workbook=14_06.xlsx&amp;sheet=U0&amp;row=1493&amp;col=6&amp;number=3.9&amp;sourceID=14","3.9")</f>
        <v>3.9</v>
      </c>
      <c r="G1493" s="4" t="str">
        <f>HYPERLINK("http://141.218.60.56/~jnz1568/getInfo.php?workbook=14_06.xlsx&amp;sheet=U0&amp;row=1493&amp;col=7&amp;number=0.0157&amp;sourceID=14","0.0157")</f>
        <v>0.0157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HYPERLINK("http://141.218.60.56/~jnz1568/getInfo.php?workbook=14_06.xlsx&amp;sheet=U0&amp;row=1494&amp;col=6&amp;number=4&amp;sourceID=14","4")</f>
        <v>4</v>
      </c>
      <c r="G1494" s="4" t="str">
        <f>HYPERLINK("http://141.218.60.56/~jnz1568/getInfo.php?workbook=14_06.xlsx&amp;sheet=U0&amp;row=1494&amp;col=7&amp;number=0.0157&amp;sourceID=14","0.0157")</f>
        <v>0.0157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HYPERLINK("http://141.218.60.56/~jnz1568/getInfo.php?workbook=14_06.xlsx&amp;sheet=U0&amp;row=1495&amp;col=6&amp;number=4.1&amp;sourceID=14","4.1")</f>
        <v>4.1</v>
      </c>
      <c r="G1495" s="4" t="str">
        <f>HYPERLINK("http://141.218.60.56/~jnz1568/getInfo.php?workbook=14_06.xlsx&amp;sheet=U0&amp;row=1495&amp;col=7&amp;number=0.0157&amp;sourceID=14","0.0157")</f>
        <v>0.0157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HYPERLINK("http://141.218.60.56/~jnz1568/getInfo.php?workbook=14_06.xlsx&amp;sheet=U0&amp;row=1496&amp;col=6&amp;number=4.2&amp;sourceID=14","4.2")</f>
        <v>4.2</v>
      </c>
      <c r="G1496" s="4" t="str">
        <f>HYPERLINK("http://141.218.60.56/~jnz1568/getInfo.php?workbook=14_06.xlsx&amp;sheet=U0&amp;row=1496&amp;col=7&amp;number=0.0157&amp;sourceID=14","0.0157")</f>
        <v>0.0157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HYPERLINK("http://141.218.60.56/~jnz1568/getInfo.php?workbook=14_06.xlsx&amp;sheet=U0&amp;row=1497&amp;col=6&amp;number=4.3&amp;sourceID=14","4.3")</f>
        <v>4.3</v>
      </c>
      <c r="G1497" s="4" t="str">
        <f>HYPERLINK("http://141.218.60.56/~jnz1568/getInfo.php?workbook=14_06.xlsx&amp;sheet=U0&amp;row=1497&amp;col=7&amp;number=0.0157&amp;sourceID=14","0.0157")</f>
        <v>0.0157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HYPERLINK("http://141.218.60.56/~jnz1568/getInfo.php?workbook=14_06.xlsx&amp;sheet=U0&amp;row=1498&amp;col=6&amp;number=4.4&amp;sourceID=14","4.4")</f>
        <v>4.4</v>
      </c>
      <c r="G1498" s="4" t="str">
        <f>HYPERLINK("http://141.218.60.56/~jnz1568/getInfo.php?workbook=14_06.xlsx&amp;sheet=U0&amp;row=1498&amp;col=7&amp;number=0.0156&amp;sourceID=14","0.0156")</f>
        <v>0.0156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HYPERLINK("http://141.218.60.56/~jnz1568/getInfo.php?workbook=14_06.xlsx&amp;sheet=U0&amp;row=1499&amp;col=6&amp;number=4.5&amp;sourceID=14","4.5")</f>
        <v>4.5</v>
      </c>
      <c r="G1499" s="4" t="str">
        <f>HYPERLINK("http://141.218.60.56/~jnz1568/getInfo.php?workbook=14_06.xlsx&amp;sheet=U0&amp;row=1499&amp;col=7&amp;number=0.0156&amp;sourceID=14","0.0156")</f>
        <v>0.0156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HYPERLINK("http://141.218.60.56/~jnz1568/getInfo.php?workbook=14_06.xlsx&amp;sheet=U0&amp;row=1500&amp;col=6&amp;number=4.6&amp;sourceID=14","4.6")</f>
        <v>4.6</v>
      </c>
      <c r="G1500" s="4" t="str">
        <f>HYPERLINK("http://141.218.60.56/~jnz1568/getInfo.php?workbook=14_06.xlsx&amp;sheet=U0&amp;row=1500&amp;col=7&amp;number=0.0156&amp;sourceID=14","0.0156")</f>
        <v>0.0156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HYPERLINK("http://141.218.60.56/~jnz1568/getInfo.php?workbook=14_06.xlsx&amp;sheet=U0&amp;row=1501&amp;col=6&amp;number=4.7&amp;sourceID=14","4.7")</f>
        <v>4.7</v>
      </c>
      <c r="G1501" s="4" t="str">
        <f>HYPERLINK("http://141.218.60.56/~jnz1568/getInfo.php?workbook=14_06.xlsx&amp;sheet=U0&amp;row=1501&amp;col=7&amp;number=0.0155&amp;sourceID=14","0.0155")</f>
        <v>0.0155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HYPERLINK("http://141.218.60.56/~jnz1568/getInfo.php?workbook=14_06.xlsx&amp;sheet=U0&amp;row=1502&amp;col=6&amp;number=4.8&amp;sourceID=14","4.8")</f>
        <v>4.8</v>
      </c>
      <c r="G1502" s="4" t="str">
        <f>HYPERLINK("http://141.218.60.56/~jnz1568/getInfo.php?workbook=14_06.xlsx&amp;sheet=U0&amp;row=1502&amp;col=7&amp;number=0.0155&amp;sourceID=14","0.0155")</f>
        <v>0.0155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HYPERLINK("http://141.218.60.56/~jnz1568/getInfo.php?workbook=14_06.xlsx&amp;sheet=U0&amp;row=1503&amp;col=6&amp;number=4.9&amp;sourceID=14","4.9")</f>
        <v>4.9</v>
      </c>
      <c r="G1503" s="4" t="str">
        <f>HYPERLINK("http://141.218.60.56/~jnz1568/getInfo.php?workbook=14_06.xlsx&amp;sheet=U0&amp;row=1503&amp;col=7&amp;number=0.0154&amp;sourceID=14","0.0154")</f>
        <v>0.0154</v>
      </c>
    </row>
    <row r="1504" spans="1:7">
      <c r="A1504" s="3">
        <v>14</v>
      </c>
      <c r="B1504" s="3">
        <v>6</v>
      </c>
      <c r="C1504" s="3">
        <v>2</v>
      </c>
      <c r="D1504" s="3">
        <v>33</v>
      </c>
      <c r="E1504" s="3">
        <v>1</v>
      </c>
      <c r="F1504" s="4" t="str">
        <f>HYPERLINK("http://141.218.60.56/~jnz1568/getInfo.php?workbook=14_06.xlsx&amp;sheet=U0&amp;row=1504&amp;col=6&amp;number=3&amp;sourceID=14","3")</f>
        <v>3</v>
      </c>
      <c r="G1504" s="4" t="str">
        <f>HYPERLINK("http://141.218.60.56/~jnz1568/getInfo.php?workbook=14_06.xlsx&amp;sheet=U0&amp;row=1504&amp;col=7&amp;number=0.0137&amp;sourceID=14","0.0137")</f>
        <v>0.0137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HYPERLINK("http://141.218.60.56/~jnz1568/getInfo.php?workbook=14_06.xlsx&amp;sheet=U0&amp;row=1505&amp;col=6&amp;number=3.1&amp;sourceID=14","3.1")</f>
        <v>3.1</v>
      </c>
      <c r="G1505" s="4" t="str">
        <f>HYPERLINK("http://141.218.60.56/~jnz1568/getInfo.php?workbook=14_06.xlsx&amp;sheet=U0&amp;row=1505&amp;col=7&amp;number=0.0137&amp;sourceID=14","0.0137")</f>
        <v>0.0137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HYPERLINK("http://141.218.60.56/~jnz1568/getInfo.php?workbook=14_06.xlsx&amp;sheet=U0&amp;row=1506&amp;col=6&amp;number=3.2&amp;sourceID=14","3.2")</f>
        <v>3.2</v>
      </c>
      <c r="G1506" s="4" t="str">
        <f>HYPERLINK("http://141.218.60.56/~jnz1568/getInfo.php?workbook=14_06.xlsx&amp;sheet=U0&amp;row=1506&amp;col=7&amp;number=0.0137&amp;sourceID=14","0.0137")</f>
        <v>0.0137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HYPERLINK("http://141.218.60.56/~jnz1568/getInfo.php?workbook=14_06.xlsx&amp;sheet=U0&amp;row=1507&amp;col=6&amp;number=3.3&amp;sourceID=14","3.3")</f>
        <v>3.3</v>
      </c>
      <c r="G1507" s="4" t="str">
        <f>HYPERLINK("http://141.218.60.56/~jnz1568/getInfo.php?workbook=14_06.xlsx&amp;sheet=U0&amp;row=1507&amp;col=7&amp;number=0.0137&amp;sourceID=14","0.0137")</f>
        <v>0.0137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HYPERLINK("http://141.218.60.56/~jnz1568/getInfo.php?workbook=14_06.xlsx&amp;sheet=U0&amp;row=1508&amp;col=6&amp;number=3.4&amp;sourceID=14","3.4")</f>
        <v>3.4</v>
      </c>
      <c r="G1508" s="4" t="str">
        <f>HYPERLINK("http://141.218.60.56/~jnz1568/getInfo.php?workbook=14_06.xlsx&amp;sheet=U0&amp;row=1508&amp;col=7&amp;number=0.0137&amp;sourceID=14","0.0137")</f>
        <v>0.0137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HYPERLINK("http://141.218.60.56/~jnz1568/getInfo.php?workbook=14_06.xlsx&amp;sheet=U0&amp;row=1509&amp;col=6&amp;number=3.5&amp;sourceID=14","3.5")</f>
        <v>3.5</v>
      </c>
      <c r="G1509" s="4" t="str">
        <f>HYPERLINK("http://141.218.60.56/~jnz1568/getInfo.php?workbook=14_06.xlsx&amp;sheet=U0&amp;row=1509&amp;col=7&amp;number=0.0137&amp;sourceID=14","0.0137")</f>
        <v>0.0137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HYPERLINK("http://141.218.60.56/~jnz1568/getInfo.php?workbook=14_06.xlsx&amp;sheet=U0&amp;row=1510&amp;col=6&amp;number=3.6&amp;sourceID=14","3.6")</f>
        <v>3.6</v>
      </c>
      <c r="G1510" s="4" t="str">
        <f>HYPERLINK("http://141.218.60.56/~jnz1568/getInfo.php?workbook=14_06.xlsx&amp;sheet=U0&amp;row=1510&amp;col=7&amp;number=0.0136&amp;sourceID=14","0.0136")</f>
        <v>0.0136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HYPERLINK("http://141.218.60.56/~jnz1568/getInfo.php?workbook=14_06.xlsx&amp;sheet=U0&amp;row=1511&amp;col=6&amp;number=3.7&amp;sourceID=14","3.7")</f>
        <v>3.7</v>
      </c>
      <c r="G1511" s="4" t="str">
        <f>HYPERLINK("http://141.218.60.56/~jnz1568/getInfo.php?workbook=14_06.xlsx&amp;sheet=U0&amp;row=1511&amp;col=7&amp;number=0.0136&amp;sourceID=14","0.0136")</f>
        <v>0.0136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HYPERLINK("http://141.218.60.56/~jnz1568/getInfo.php?workbook=14_06.xlsx&amp;sheet=U0&amp;row=1512&amp;col=6&amp;number=3.8&amp;sourceID=14","3.8")</f>
        <v>3.8</v>
      </c>
      <c r="G1512" s="4" t="str">
        <f>HYPERLINK("http://141.218.60.56/~jnz1568/getInfo.php?workbook=14_06.xlsx&amp;sheet=U0&amp;row=1512&amp;col=7&amp;number=0.0136&amp;sourceID=14","0.0136")</f>
        <v>0.0136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HYPERLINK("http://141.218.60.56/~jnz1568/getInfo.php?workbook=14_06.xlsx&amp;sheet=U0&amp;row=1513&amp;col=6&amp;number=3.9&amp;sourceID=14","3.9")</f>
        <v>3.9</v>
      </c>
      <c r="G1513" s="4" t="str">
        <f>HYPERLINK("http://141.218.60.56/~jnz1568/getInfo.php?workbook=14_06.xlsx&amp;sheet=U0&amp;row=1513&amp;col=7&amp;number=0.0136&amp;sourceID=14","0.0136")</f>
        <v>0.0136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HYPERLINK("http://141.218.60.56/~jnz1568/getInfo.php?workbook=14_06.xlsx&amp;sheet=U0&amp;row=1514&amp;col=6&amp;number=4&amp;sourceID=14","4")</f>
        <v>4</v>
      </c>
      <c r="G1514" s="4" t="str">
        <f>HYPERLINK("http://141.218.60.56/~jnz1568/getInfo.php?workbook=14_06.xlsx&amp;sheet=U0&amp;row=1514&amp;col=7&amp;number=0.0136&amp;sourceID=14","0.0136")</f>
        <v>0.0136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HYPERLINK("http://141.218.60.56/~jnz1568/getInfo.php?workbook=14_06.xlsx&amp;sheet=U0&amp;row=1515&amp;col=6&amp;number=4.1&amp;sourceID=14","4.1")</f>
        <v>4.1</v>
      </c>
      <c r="G1515" s="4" t="str">
        <f>HYPERLINK("http://141.218.60.56/~jnz1568/getInfo.php?workbook=14_06.xlsx&amp;sheet=U0&amp;row=1515&amp;col=7&amp;number=0.0136&amp;sourceID=14","0.0136")</f>
        <v>0.0136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HYPERLINK("http://141.218.60.56/~jnz1568/getInfo.php?workbook=14_06.xlsx&amp;sheet=U0&amp;row=1516&amp;col=6&amp;number=4.2&amp;sourceID=14","4.2")</f>
        <v>4.2</v>
      </c>
      <c r="G1516" s="4" t="str">
        <f>HYPERLINK("http://141.218.60.56/~jnz1568/getInfo.php?workbook=14_06.xlsx&amp;sheet=U0&amp;row=1516&amp;col=7&amp;number=0.0136&amp;sourceID=14","0.0136")</f>
        <v>0.0136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HYPERLINK("http://141.218.60.56/~jnz1568/getInfo.php?workbook=14_06.xlsx&amp;sheet=U0&amp;row=1517&amp;col=6&amp;number=4.3&amp;sourceID=14","4.3")</f>
        <v>4.3</v>
      </c>
      <c r="G1517" s="4" t="str">
        <f>HYPERLINK("http://141.218.60.56/~jnz1568/getInfo.php?workbook=14_06.xlsx&amp;sheet=U0&amp;row=1517&amp;col=7&amp;number=0.0136&amp;sourceID=14","0.0136")</f>
        <v>0.0136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HYPERLINK("http://141.218.60.56/~jnz1568/getInfo.php?workbook=14_06.xlsx&amp;sheet=U0&amp;row=1518&amp;col=6&amp;number=4.4&amp;sourceID=14","4.4")</f>
        <v>4.4</v>
      </c>
      <c r="G1518" s="4" t="str">
        <f>HYPERLINK("http://141.218.60.56/~jnz1568/getInfo.php?workbook=14_06.xlsx&amp;sheet=U0&amp;row=1518&amp;col=7&amp;number=0.0135&amp;sourceID=14","0.0135")</f>
        <v>0.0135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HYPERLINK("http://141.218.60.56/~jnz1568/getInfo.php?workbook=14_06.xlsx&amp;sheet=U0&amp;row=1519&amp;col=6&amp;number=4.5&amp;sourceID=14","4.5")</f>
        <v>4.5</v>
      </c>
      <c r="G1519" s="4" t="str">
        <f>HYPERLINK("http://141.218.60.56/~jnz1568/getInfo.php?workbook=14_06.xlsx&amp;sheet=U0&amp;row=1519&amp;col=7&amp;number=0.0135&amp;sourceID=14","0.0135")</f>
        <v>0.0135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HYPERLINK("http://141.218.60.56/~jnz1568/getInfo.php?workbook=14_06.xlsx&amp;sheet=U0&amp;row=1520&amp;col=6&amp;number=4.6&amp;sourceID=14","4.6")</f>
        <v>4.6</v>
      </c>
      <c r="G1520" s="4" t="str">
        <f>HYPERLINK("http://141.218.60.56/~jnz1568/getInfo.php?workbook=14_06.xlsx&amp;sheet=U0&amp;row=1520&amp;col=7&amp;number=0.0135&amp;sourceID=14","0.0135")</f>
        <v>0.0135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HYPERLINK("http://141.218.60.56/~jnz1568/getInfo.php?workbook=14_06.xlsx&amp;sheet=U0&amp;row=1521&amp;col=6&amp;number=4.7&amp;sourceID=14","4.7")</f>
        <v>4.7</v>
      </c>
      <c r="G1521" s="4" t="str">
        <f>HYPERLINK("http://141.218.60.56/~jnz1568/getInfo.php?workbook=14_06.xlsx&amp;sheet=U0&amp;row=1521&amp;col=7&amp;number=0.0134&amp;sourceID=14","0.0134")</f>
        <v>0.0134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HYPERLINK("http://141.218.60.56/~jnz1568/getInfo.php?workbook=14_06.xlsx&amp;sheet=U0&amp;row=1522&amp;col=6&amp;number=4.8&amp;sourceID=14","4.8")</f>
        <v>4.8</v>
      </c>
      <c r="G1522" s="4" t="str">
        <f>HYPERLINK("http://141.218.60.56/~jnz1568/getInfo.php?workbook=14_06.xlsx&amp;sheet=U0&amp;row=1522&amp;col=7&amp;number=0.0133&amp;sourceID=14","0.0133")</f>
        <v>0.0133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HYPERLINK("http://141.218.60.56/~jnz1568/getInfo.php?workbook=14_06.xlsx&amp;sheet=U0&amp;row=1523&amp;col=6&amp;number=4.9&amp;sourceID=14","4.9")</f>
        <v>4.9</v>
      </c>
      <c r="G1523" s="4" t="str">
        <f>HYPERLINK("http://141.218.60.56/~jnz1568/getInfo.php?workbook=14_06.xlsx&amp;sheet=U0&amp;row=1523&amp;col=7&amp;number=0.0132&amp;sourceID=14","0.0132")</f>
        <v>0.0132</v>
      </c>
    </row>
    <row r="1524" spans="1:7">
      <c r="A1524" s="3">
        <v>14</v>
      </c>
      <c r="B1524" s="3">
        <v>6</v>
      </c>
      <c r="C1524" s="3">
        <v>2</v>
      </c>
      <c r="D1524" s="3">
        <v>34</v>
      </c>
      <c r="E1524" s="3">
        <v>1</v>
      </c>
      <c r="F1524" s="4" t="str">
        <f>HYPERLINK("http://141.218.60.56/~jnz1568/getInfo.php?workbook=14_06.xlsx&amp;sheet=U0&amp;row=1524&amp;col=6&amp;number=3&amp;sourceID=14","3")</f>
        <v>3</v>
      </c>
      <c r="G1524" s="4" t="str">
        <f>HYPERLINK("http://141.218.60.56/~jnz1568/getInfo.php?workbook=14_06.xlsx&amp;sheet=U0&amp;row=1524&amp;col=7&amp;number=0.00222&amp;sourceID=14","0.00222")</f>
        <v>0.00222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HYPERLINK("http://141.218.60.56/~jnz1568/getInfo.php?workbook=14_06.xlsx&amp;sheet=U0&amp;row=1525&amp;col=6&amp;number=3.1&amp;sourceID=14","3.1")</f>
        <v>3.1</v>
      </c>
      <c r="G1525" s="4" t="str">
        <f>HYPERLINK("http://141.218.60.56/~jnz1568/getInfo.php?workbook=14_06.xlsx&amp;sheet=U0&amp;row=1525&amp;col=7&amp;number=0.00221&amp;sourceID=14","0.00221")</f>
        <v>0.00221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HYPERLINK("http://141.218.60.56/~jnz1568/getInfo.php?workbook=14_06.xlsx&amp;sheet=U0&amp;row=1526&amp;col=6&amp;number=3.2&amp;sourceID=14","3.2")</f>
        <v>3.2</v>
      </c>
      <c r="G1526" s="4" t="str">
        <f>HYPERLINK("http://141.218.60.56/~jnz1568/getInfo.php?workbook=14_06.xlsx&amp;sheet=U0&amp;row=1526&amp;col=7&amp;number=0.00221&amp;sourceID=14","0.00221")</f>
        <v>0.00221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HYPERLINK("http://141.218.60.56/~jnz1568/getInfo.php?workbook=14_06.xlsx&amp;sheet=U0&amp;row=1527&amp;col=6&amp;number=3.3&amp;sourceID=14","3.3")</f>
        <v>3.3</v>
      </c>
      <c r="G1527" s="4" t="str">
        <f>HYPERLINK("http://141.218.60.56/~jnz1568/getInfo.php?workbook=14_06.xlsx&amp;sheet=U0&amp;row=1527&amp;col=7&amp;number=0.00221&amp;sourceID=14","0.00221")</f>
        <v>0.00221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HYPERLINK("http://141.218.60.56/~jnz1568/getInfo.php?workbook=14_06.xlsx&amp;sheet=U0&amp;row=1528&amp;col=6&amp;number=3.4&amp;sourceID=14","3.4")</f>
        <v>3.4</v>
      </c>
      <c r="G1528" s="4" t="str">
        <f>HYPERLINK("http://141.218.60.56/~jnz1568/getInfo.php?workbook=14_06.xlsx&amp;sheet=U0&amp;row=1528&amp;col=7&amp;number=0.00221&amp;sourceID=14","0.00221")</f>
        <v>0.00221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HYPERLINK("http://141.218.60.56/~jnz1568/getInfo.php?workbook=14_06.xlsx&amp;sheet=U0&amp;row=1529&amp;col=6&amp;number=3.5&amp;sourceID=14","3.5")</f>
        <v>3.5</v>
      </c>
      <c r="G1529" s="4" t="str">
        <f>HYPERLINK("http://141.218.60.56/~jnz1568/getInfo.php?workbook=14_06.xlsx&amp;sheet=U0&amp;row=1529&amp;col=7&amp;number=0.00221&amp;sourceID=14","0.00221")</f>
        <v>0.00221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HYPERLINK("http://141.218.60.56/~jnz1568/getInfo.php?workbook=14_06.xlsx&amp;sheet=U0&amp;row=1530&amp;col=6&amp;number=3.6&amp;sourceID=14","3.6")</f>
        <v>3.6</v>
      </c>
      <c r="G1530" s="4" t="str">
        <f>HYPERLINK("http://141.218.60.56/~jnz1568/getInfo.php?workbook=14_06.xlsx&amp;sheet=U0&amp;row=1530&amp;col=7&amp;number=0.00221&amp;sourceID=14","0.00221")</f>
        <v>0.00221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HYPERLINK("http://141.218.60.56/~jnz1568/getInfo.php?workbook=14_06.xlsx&amp;sheet=U0&amp;row=1531&amp;col=6&amp;number=3.7&amp;sourceID=14","3.7")</f>
        <v>3.7</v>
      </c>
      <c r="G1531" s="4" t="str">
        <f>HYPERLINK("http://141.218.60.56/~jnz1568/getInfo.php?workbook=14_06.xlsx&amp;sheet=U0&amp;row=1531&amp;col=7&amp;number=0.00221&amp;sourceID=14","0.00221")</f>
        <v>0.00221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HYPERLINK("http://141.218.60.56/~jnz1568/getInfo.php?workbook=14_06.xlsx&amp;sheet=U0&amp;row=1532&amp;col=6&amp;number=3.8&amp;sourceID=14","3.8")</f>
        <v>3.8</v>
      </c>
      <c r="G1532" s="4" t="str">
        <f>HYPERLINK("http://141.218.60.56/~jnz1568/getInfo.php?workbook=14_06.xlsx&amp;sheet=U0&amp;row=1532&amp;col=7&amp;number=0.00221&amp;sourceID=14","0.00221")</f>
        <v>0.00221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HYPERLINK("http://141.218.60.56/~jnz1568/getInfo.php?workbook=14_06.xlsx&amp;sheet=U0&amp;row=1533&amp;col=6&amp;number=3.9&amp;sourceID=14","3.9")</f>
        <v>3.9</v>
      </c>
      <c r="G1533" s="4" t="str">
        <f>HYPERLINK("http://141.218.60.56/~jnz1568/getInfo.php?workbook=14_06.xlsx&amp;sheet=U0&amp;row=1533&amp;col=7&amp;number=0.00221&amp;sourceID=14","0.00221")</f>
        <v>0.00221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HYPERLINK("http://141.218.60.56/~jnz1568/getInfo.php?workbook=14_06.xlsx&amp;sheet=U0&amp;row=1534&amp;col=6&amp;number=4&amp;sourceID=14","4")</f>
        <v>4</v>
      </c>
      <c r="G1534" s="4" t="str">
        <f>HYPERLINK("http://141.218.60.56/~jnz1568/getInfo.php?workbook=14_06.xlsx&amp;sheet=U0&amp;row=1534&amp;col=7&amp;number=0.00221&amp;sourceID=14","0.00221")</f>
        <v>0.00221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HYPERLINK("http://141.218.60.56/~jnz1568/getInfo.php?workbook=14_06.xlsx&amp;sheet=U0&amp;row=1535&amp;col=6&amp;number=4.1&amp;sourceID=14","4.1")</f>
        <v>4.1</v>
      </c>
      <c r="G1535" s="4" t="str">
        <f>HYPERLINK("http://141.218.60.56/~jnz1568/getInfo.php?workbook=14_06.xlsx&amp;sheet=U0&amp;row=1535&amp;col=7&amp;number=0.0022&amp;sourceID=14","0.0022")</f>
        <v>0.0022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HYPERLINK("http://141.218.60.56/~jnz1568/getInfo.php?workbook=14_06.xlsx&amp;sheet=U0&amp;row=1536&amp;col=6&amp;number=4.2&amp;sourceID=14","4.2")</f>
        <v>4.2</v>
      </c>
      <c r="G1536" s="4" t="str">
        <f>HYPERLINK("http://141.218.60.56/~jnz1568/getInfo.php?workbook=14_06.xlsx&amp;sheet=U0&amp;row=1536&amp;col=7&amp;number=0.0022&amp;sourceID=14","0.0022")</f>
        <v>0.0022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HYPERLINK("http://141.218.60.56/~jnz1568/getInfo.php?workbook=14_06.xlsx&amp;sheet=U0&amp;row=1537&amp;col=6&amp;number=4.3&amp;sourceID=14","4.3")</f>
        <v>4.3</v>
      </c>
      <c r="G1537" s="4" t="str">
        <f>HYPERLINK("http://141.218.60.56/~jnz1568/getInfo.php?workbook=14_06.xlsx&amp;sheet=U0&amp;row=1537&amp;col=7&amp;number=0.0022&amp;sourceID=14","0.0022")</f>
        <v>0.0022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HYPERLINK("http://141.218.60.56/~jnz1568/getInfo.php?workbook=14_06.xlsx&amp;sheet=U0&amp;row=1538&amp;col=6&amp;number=4.4&amp;sourceID=14","4.4")</f>
        <v>4.4</v>
      </c>
      <c r="G1538" s="4" t="str">
        <f>HYPERLINK("http://141.218.60.56/~jnz1568/getInfo.php?workbook=14_06.xlsx&amp;sheet=U0&amp;row=1538&amp;col=7&amp;number=0.00219&amp;sourceID=14","0.00219")</f>
        <v>0.00219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HYPERLINK("http://141.218.60.56/~jnz1568/getInfo.php?workbook=14_06.xlsx&amp;sheet=U0&amp;row=1539&amp;col=6&amp;number=4.5&amp;sourceID=14","4.5")</f>
        <v>4.5</v>
      </c>
      <c r="G1539" s="4" t="str">
        <f>HYPERLINK("http://141.218.60.56/~jnz1568/getInfo.php?workbook=14_06.xlsx&amp;sheet=U0&amp;row=1539&amp;col=7&amp;number=0.00219&amp;sourceID=14","0.00219")</f>
        <v>0.00219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HYPERLINK("http://141.218.60.56/~jnz1568/getInfo.php?workbook=14_06.xlsx&amp;sheet=U0&amp;row=1540&amp;col=6&amp;number=4.6&amp;sourceID=14","4.6")</f>
        <v>4.6</v>
      </c>
      <c r="G1540" s="4" t="str">
        <f>HYPERLINK("http://141.218.60.56/~jnz1568/getInfo.php?workbook=14_06.xlsx&amp;sheet=U0&amp;row=1540&amp;col=7&amp;number=0.00218&amp;sourceID=14","0.00218")</f>
        <v>0.00218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HYPERLINK("http://141.218.60.56/~jnz1568/getInfo.php?workbook=14_06.xlsx&amp;sheet=U0&amp;row=1541&amp;col=6&amp;number=4.7&amp;sourceID=14","4.7")</f>
        <v>4.7</v>
      </c>
      <c r="G1541" s="4" t="str">
        <f>HYPERLINK("http://141.218.60.56/~jnz1568/getInfo.php?workbook=14_06.xlsx&amp;sheet=U0&amp;row=1541&amp;col=7&amp;number=0.00217&amp;sourceID=14","0.00217")</f>
        <v>0.00217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HYPERLINK("http://141.218.60.56/~jnz1568/getInfo.php?workbook=14_06.xlsx&amp;sheet=U0&amp;row=1542&amp;col=6&amp;number=4.8&amp;sourceID=14","4.8")</f>
        <v>4.8</v>
      </c>
      <c r="G1542" s="4" t="str">
        <f>HYPERLINK("http://141.218.60.56/~jnz1568/getInfo.php?workbook=14_06.xlsx&amp;sheet=U0&amp;row=1542&amp;col=7&amp;number=0.00216&amp;sourceID=14","0.00216")</f>
        <v>0.00216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HYPERLINK("http://141.218.60.56/~jnz1568/getInfo.php?workbook=14_06.xlsx&amp;sheet=U0&amp;row=1543&amp;col=6&amp;number=4.9&amp;sourceID=14","4.9")</f>
        <v>4.9</v>
      </c>
      <c r="G1543" s="4" t="str">
        <f>HYPERLINK("http://141.218.60.56/~jnz1568/getInfo.php?workbook=14_06.xlsx&amp;sheet=U0&amp;row=1543&amp;col=7&amp;number=0.00214&amp;sourceID=14","0.00214")</f>
        <v>0.00214</v>
      </c>
    </row>
    <row r="1544" spans="1:7">
      <c r="A1544" s="3">
        <v>14</v>
      </c>
      <c r="B1544" s="3">
        <v>6</v>
      </c>
      <c r="C1544" s="3">
        <v>2</v>
      </c>
      <c r="D1544" s="3">
        <v>35</v>
      </c>
      <c r="E1544" s="3">
        <v>1</v>
      </c>
      <c r="F1544" s="4" t="str">
        <f>HYPERLINK("http://141.218.60.56/~jnz1568/getInfo.php?workbook=14_06.xlsx&amp;sheet=U0&amp;row=1544&amp;col=6&amp;number=3&amp;sourceID=14","3")</f>
        <v>3</v>
      </c>
      <c r="G1544" s="4" t="str">
        <f>HYPERLINK("http://141.218.60.56/~jnz1568/getInfo.php?workbook=14_06.xlsx&amp;sheet=U0&amp;row=1544&amp;col=7&amp;number=0.0217&amp;sourceID=14","0.0217")</f>
        <v>0.0217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HYPERLINK("http://141.218.60.56/~jnz1568/getInfo.php?workbook=14_06.xlsx&amp;sheet=U0&amp;row=1545&amp;col=6&amp;number=3.1&amp;sourceID=14","3.1")</f>
        <v>3.1</v>
      </c>
      <c r="G1545" s="4" t="str">
        <f>HYPERLINK("http://141.218.60.56/~jnz1568/getInfo.php?workbook=14_06.xlsx&amp;sheet=U0&amp;row=1545&amp;col=7&amp;number=0.0217&amp;sourceID=14","0.0217")</f>
        <v>0.0217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HYPERLINK("http://141.218.60.56/~jnz1568/getInfo.php?workbook=14_06.xlsx&amp;sheet=U0&amp;row=1546&amp;col=6&amp;number=3.2&amp;sourceID=14","3.2")</f>
        <v>3.2</v>
      </c>
      <c r="G1546" s="4" t="str">
        <f>HYPERLINK("http://141.218.60.56/~jnz1568/getInfo.php?workbook=14_06.xlsx&amp;sheet=U0&amp;row=1546&amp;col=7&amp;number=0.0217&amp;sourceID=14","0.0217")</f>
        <v>0.0217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HYPERLINK("http://141.218.60.56/~jnz1568/getInfo.php?workbook=14_06.xlsx&amp;sheet=U0&amp;row=1547&amp;col=6&amp;number=3.3&amp;sourceID=14","3.3")</f>
        <v>3.3</v>
      </c>
      <c r="G1547" s="4" t="str">
        <f>HYPERLINK("http://141.218.60.56/~jnz1568/getInfo.php?workbook=14_06.xlsx&amp;sheet=U0&amp;row=1547&amp;col=7&amp;number=0.0217&amp;sourceID=14","0.0217")</f>
        <v>0.0217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HYPERLINK("http://141.218.60.56/~jnz1568/getInfo.php?workbook=14_06.xlsx&amp;sheet=U0&amp;row=1548&amp;col=6&amp;number=3.4&amp;sourceID=14","3.4")</f>
        <v>3.4</v>
      </c>
      <c r="G1548" s="4" t="str">
        <f>HYPERLINK("http://141.218.60.56/~jnz1568/getInfo.php?workbook=14_06.xlsx&amp;sheet=U0&amp;row=1548&amp;col=7&amp;number=0.0217&amp;sourceID=14","0.0217")</f>
        <v>0.0217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HYPERLINK("http://141.218.60.56/~jnz1568/getInfo.php?workbook=14_06.xlsx&amp;sheet=U0&amp;row=1549&amp;col=6&amp;number=3.5&amp;sourceID=14","3.5")</f>
        <v>3.5</v>
      </c>
      <c r="G1549" s="4" t="str">
        <f>HYPERLINK("http://141.218.60.56/~jnz1568/getInfo.php?workbook=14_06.xlsx&amp;sheet=U0&amp;row=1549&amp;col=7&amp;number=0.0217&amp;sourceID=14","0.0217")</f>
        <v>0.0217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HYPERLINK("http://141.218.60.56/~jnz1568/getInfo.php?workbook=14_06.xlsx&amp;sheet=U0&amp;row=1550&amp;col=6&amp;number=3.6&amp;sourceID=14","3.6")</f>
        <v>3.6</v>
      </c>
      <c r="G1550" s="4" t="str">
        <f>HYPERLINK("http://141.218.60.56/~jnz1568/getInfo.php?workbook=14_06.xlsx&amp;sheet=U0&amp;row=1550&amp;col=7&amp;number=0.0217&amp;sourceID=14","0.0217")</f>
        <v>0.0217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HYPERLINK("http://141.218.60.56/~jnz1568/getInfo.php?workbook=14_06.xlsx&amp;sheet=U0&amp;row=1551&amp;col=6&amp;number=3.7&amp;sourceID=14","3.7")</f>
        <v>3.7</v>
      </c>
      <c r="G1551" s="4" t="str">
        <f>HYPERLINK("http://141.218.60.56/~jnz1568/getInfo.php?workbook=14_06.xlsx&amp;sheet=U0&amp;row=1551&amp;col=7&amp;number=0.0217&amp;sourceID=14","0.0217")</f>
        <v>0.0217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HYPERLINK("http://141.218.60.56/~jnz1568/getInfo.php?workbook=14_06.xlsx&amp;sheet=U0&amp;row=1552&amp;col=6&amp;number=3.8&amp;sourceID=14","3.8")</f>
        <v>3.8</v>
      </c>
      <c r="G1552" s="4" t="str">
        <f>HYPERLINK("http://141.218.60.56/~jnz1568/getInfo.php?workbook=14_06.xlsx&amp;sheet=U0&amp;row=1552&amp;col=7&amp;number=0.0217&amp;sourceID=14","0.0217")</f>
        <v>0.0217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HYPERLINK("http://141.218.60.56/~jnz1568/getInfo.php?workbook=14_06.xlsx&amp;sheet=U0&amp;row=1553&amp;col=6&amp;number=3.9&amp;sourceID=14","3.9")</f>
        <v>3.9</v>
      </c>
      <c r="G1553" s="4" t="str">
        <f>HYPERLINK("http://141.218.60.56/~jnz1568/getInfo.php?workbook=14_06.xlsx&amp;sheet=U0&amp;row=1553&amp;col=7&amp;number=0.0217&amp;sourceID=14","0.0217")</f>
        <v>0.0217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HYPERLINK("http://141.218.60.56/~jnz1568/getInfo.php?workbook=14_06.xlsx&amp;sheet=U0&amp;row=1554&amp;col=6&amp;number=4&amp;sourceID=14","4")</f>
        <v>4</v>
      </c>
      <c r="G1554" s="4" t="str">
        <f>HYPERLINK("http://141.218.60.56/~jnz1568/getInfo.php?workbook=14_06.xlsx&amp;sheet=U0&amp;row=1554&amp;col=7&amp;number=0.0217&amp;sourceID=14","0.0217")</f>
        <v>0.0217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HYPERLINK("http://141.218.60.56/~jnz1568/getInfo.php?workbook=14_06.xlsx&amp;sheet=U0&amp;row=1555&amp;col=6&amp;number=4.1&amp;sourceID=14","4.1")</f>
        <v>4.1</v>
      </c>
      <c r="G1555" s="4" t="str">
        <f>HYPERLINK("http://141.218.60.56/~jnz1568/getInfo.php?workbook=14_06.xlsx&amp;sheet=U0&amp;row=1555&amp;col=7&amp;number=0.0217&amp;sourceID=14","0.0217")</f>
        <v>0.0217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HYPERLINK("http://141.218.60.56/~jnz1568/getInfo.php?workbook=14_06.xlsx&amp;sheet=U0&amp;row=1556&amp;col=6&amp;number=4.2&amp;sourceID=14","4.2")</f>
        <v>4.2</v>
      </c>
      <c r="G1556" s="4" t="str">
        <f>HYPERLINK("http://141.218.60.56/~jnz1568/getInfo.php?workbook=14_06.xlsx&amp;sheet=U0&amp;row=1556&amp;col=7&amp;number=0.0216&amp;sourceID=14","0.0216")</f>
        <v>0.0216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HYPERLINK("http://141.218.60.56/~jnz1568/getInfo.php?workbook=14_06.xlsx&amp;sheet=U0&amp;row=1557&amp;col=6&amp;number=4.3&amp;sourceID=14","4.3")</f>
        <v>4.3</v>
      </c>
      <c r="G1557" s="4" t="str">
        <f>HYPERLINK("http://141.218.60.56/~jnz1568/getInfo.php?workbook=14_06.xlsx&amp;sheet=U0&amp;row=1557&amp;col=7&amp;number=0.0216&amp;sourceID=14","0.0216")</f>
        <v>0.0216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HYPERLINK("http://141.218.60.56/~jnz1568/getInfo.php?workbook=14_06.xlsx&amp;sheet=U0&amp;row=1558&amp;col=6&amp;number=4.4&amp;sourceID=14","4.4")</f>
        <v>4.4</v>
      </c>
      <c r="G1558" s="4" t="str">
        <f>HYPERLINK("http://141.218.60.56/~jnz1568/getInfo.php?workbook=14_06.xlsx&amp;sheet=U0&amp;row=1558&amp;col=7&amp;number=0.0216&amp;sourceID=14","0.0216")</f>
        <v>0.0216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HYPERLINK("http://141.218.60.56/~jnz1568/getInfo.php?workbook=14_06.xlsx&amp;sheet=U0&amp;row=1559&amp;col=6&amp;number=4.5&amp;sourceID=14","4.5")</f>
        <v>4.5</v>
      </c>
      <c r="G1559" s="4" t="str">
        <f>HYPERLINK("http://141.218.60.56/~jnz1568/getInfo.php?workbook=14_06.xlsx&amp;sheet=U0&amp;row=1559&amp;col=7&amp;number=0.0215&amp;sourceID=14","0.0215")</f>
        <v>0.0215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HYPERLINK("http://141.218.60.56/~jnz1568/getInfo.php?workbook=14_06.xlsx&amp;sheet=U0&amp;row=1560&amp;col=6&amp;number=4.6&amp;sourceID=14","4.6")</f>
        <v>4.6</v>
      </c>
      <c r="G1560" s="4" t="str">
        <f>HYPERLINK("http://141.218.60.56/~jnz1568/getInfo.php?workbook=14_06.xlsx&amp;sheet=U0&amp;row=1560&amp;col=7&amp;number=0.0215&amp;sourceID=14","0.0215")</f>
        <v>0.0215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HYPERLINK("http://141.218.60.56/~jnz1568/getInfo.php?workbook=14_06.xlsx&amp;sheet=U0&amp;row=1561&amp;col=6&amp;number=4.7&amp;sourceID=14","4.7")</f>
        <v>4.7</v>
      </c>
      <c r="G1561" s="4" t="str">
        <f>HYPERLINK("http://141.218.60.56/~jnz1568/getInfo.php?workbook=14_06.xlsx&amp;sheet=U0&amp;row=1561&amp;col=7&amp;number=0.0214&amp;sourceID=14","0.0214")</f>
        <v>0.0214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HYPERLINK("http://141.218.60.56/~jnz1568/getInfo.php?workbook=14_06.xlsx&amp;sheet=U0&amp;row=1562&amp;col=6&amp;number=4.8&amp;sourceID=14","4.8")</f>
        <v>4.8</v>
      </c>
      <c r="G1562" s="4" t="str">
        <f>HYPERLINK("http://141.218.60.56/~jnz1568/getInfo.php?workbook=14_06.xlsx&amp;sheet=U0&amp;row=1562&amp;col=7&amp;number=0.0213&amp;sourceID=14","0.0213")</f>
        <v>0.0213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HYPERLINK("http://141.218.60.56/~jnz1568/getInfo.php?workbook=14_06.xlsx&amp;sheet=U0&amp;row=1563&amp;col=6&amp;number=4.9&amp;sourceID=14","4.9")</f>
        <v>4.9</v>
      </c>
      <c r="G1563" s="4" t="str">
        <f>HYPERLINK("http://141.218.60.56/~jnz1568/getInfo.php?workbook=14_06.xlsx&amp;sheet=U0&amp;row=1563&amp;col=7&amp;number=0.0212&amp;sourceID=14","0.0212")</f>
        <v>0.0212</v>
      </c>
    </row>
    <row r="1564" spans="1:7">
      <c r="A1564" s="3">
        <v>14</v>
      </c>
      <c r="B1564" s="3">
        <v>6</v>
      </c>
      <c r="C1564" s="3">
        <v>2</v>
      </c>
      <c r="D1564" s="3">
        <v>36</v>
      </c>
      <c r="E1564" s="3">
        <v>1</v>
      </c>
      <c r="F1564" s="4" t="str">
        <f>HYPERLINK("http://141.218.60.56/~jnz1568/getInfo.php?workbook=14_06.xlsx&amp;sheet=U0&amp;row=1564&amp;col=6&amp;number=3&amp;sourceID=14","3")</f>
        <v>3</v>
      </c>
      <c r="G1564" s="4" t="str">
        <f>HYPERLINK("http://141.218.60.56/~jnz1568/getInfo.php?workbook=14_06.xlsx&amp;sheet=U0&amp;row=1564&amp;col=7&amp;number=0.0238&amp;sourceID=14","0.0238")</f>
        <v>0.0238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HYPERLINK("http://141.218.60.56/~jnz1568/getInfo.php?workbook=14_06.xlsx&amp;sheet=U0&amp;row=1565&amp;col=6&amp;number=3.1&amp;sourceID=14","3.1")</f>
        <v>3.1</v>
      </c>
      <c r="G1565" s="4" t="str">
        <f>HYPERLINK("http://141.218.60.56/~jnz1568/getInfo.php?workbook=14_06.xlsx&amp;sheet=U0&amp;row=1565&amp;col=7&amp;number=0.0238&amp;sourceID=14","0.0238")</f>
        <v>0.0238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HYPERLINK("http://141.218.60.56/~jnz1568/getInfo.php?workbook=14_06.xlsx&amp;sheet=U0&amp;row=1566&amp;col=6&amp;number=3.2&amp;sourceID=14","3.2")</f>
        <v>3.2</v>
      </c>
      <c r="G1566" s="4" t="str">
        <f>HYPERLINK("http://141.218.60.56/~jnz1568/getInfo.php?workbook=14_06.xlsx&amp;sheet=U0&amp;row=1566&amp;col=7&amp;number=0.0238&amp;sourceID=14","0.0238")</f>
        <v>0.0238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HYPERLINK("http://141.218.60.56/~jnz1568/getInfo.php?workbook=14_06.xlsx&amp;sheet=U0&amp;row=1567&amp;col=6&amp;number=3.3&amp;sourceID=14","3.3")</f>
        <v>3.3</v>
      </c>
      <c r="G1567" s="4" t="str">
        <f>HYPERLINK("http://141.218.60.56/~jnz1568/getInfo.php?workbook=14_06.xlsx&amp;sheet=U0&amp;row=1567&amp;col=7&amp;number=0.0238&amp;sourceID=14","0.0238")</f>
        <v>0.0238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HYPERLINK("http://141.218.60.56/~jnz1568/getInfo.php?workbook=14_06.xlsx&amp;sheet=U0&amp;row=1568&amp;col=6&amp;number=3.4&amp;sourceID=14","3.4")</f>
        <v>3.4</v>
      </c>
      <c r="G1568" s="4" t="str">
        <f>HYPERLINK("http://141.218.60.56/~jnz1568/getInfo.php?workbook=14_06.xlsx&amp;sheet=U0&amp;row=1568&amp;col=7&amp;number=0.0238&amp;sourceID=14","0.0238")</f>
        <v>0.0238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HYPERLINK("http://141.218.60.56/~jnz1568/getInfo.php?workbook=14_06.xlsx&amp;sheet=U0&amp;row=1569&amp;col=6&amp;number=3.5&amp;sourceID=14","3.5")</f>
        <v>3.5</v>
      </c>
      <c r="G1569" s="4" t="str">
        <f>HYPERLINK("http://141.218.60.56/~jnz1568/getInfo.php?workbook=14_06.xlsx&amp;sheet=U0&amp;row=1569&amp;col=7&amp;number=0.0238&amp;sourceID=14","0.0238")</f>
        <v>0.0238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HYPERLINK("http://141.218.60.56/~jnz1568/getInfo.php?workbook=14_06.xlsx&amp;sheet=U0&amp;row=1570&amp;col=6&amp;number=3.6&amp;sourceID=14","3.6")</f>
        <v>3.6</v>
      </c>
      <c r="G1570" s="4" t="str">
        <f>HYPERLINK("http://141.218.60.56/~jnz1568/getInfo.php?workbook=14_06.xlsx&amp;sheet=U0&amp;row=1570&amp;col=7&amp;number=0.0238&amp;sourceID=14","0.0238")</f>
        <v>0.0238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HYPERLINK("http://141.218.60.56/~jnz1568/getInfo.php?workbook=14_06.xlsx&amp;sheet=U0&amp;row=1571&amp;col=6&amp;number=3.7&amp;sourceID=14","3.7")</f>
        <v>3.7</v>
      </c>
      <c r="G1571" s="4" t="str">
        <f>HYPERLINK("http://141.218.60.56/~jnz1568/getInfo.php?workbook=14_06.xlsx&amp;sheet=U0&amp;row=1571&amp;col=7&amp;number=0.0238&amp;sourceID=14","0.0238")</f>
        <v>0.0238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HYPERLINK("http://141.218.60.56/~jnz1568/getInfo.php?workbook=14_06.xlsx&amp;sheet=U0&amp;row=1572&amp;col=6&amp;number=3.8&amp;sourceID=14","3.8")</f>
        <v>3.8</v>
      </c>
      <c r="G1572" s="4" t="str">
        <f>HYPERLINK("http://141.218.60.56/~jnz1568/getInfo.php?workbook=14_06.xlsx&amp;sheet=U0&amp;row=1572&amp;col=7&amp;number=0.0238&amp;sourceID=14","0.0238")</f>
        <v>0.0238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HYPERLINK("http://141.218.60.56/~jnz1568/getInfo.php?workbook=14_06.xlsx&amp;sheet=U0&amp;row=1573&amp;col=6&amp;number=3.9&amp;sourceID=14","3.9")</f>
        <v>3.9</v>
      </c>
      <c r="G1573" s="4" t="str">
        <f>HYPERLINK("http://141.218.60.56/~jnz1568/getInfo.php?workbook=14_06.xlsx&amp;sheet=U0&amp;row=1573&amp;col=7&amp;number=0.0238&amp;sourceID=14","0.0238")</f>
        <v>0.0238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HYPERLINK("http://141.218.60.56/~jnz1568/getInfo.php?workbook=14_06.xlsx&amp;sheet=U0&amp;row=1574&amp;col=6&amp;number=4&amp;sourceID=14","4")</f>
        <v>4</v>
      </c>
      <c r="G1574" s="4" t="str">
        <f>HYPERLINK("http://141.218.60.56/~jnz1568/getInfo.php?workbook=14_06.xlsx&amp;sheet=U0&amp;row=1574&amp;col=7&amp;number=0.0237&amp;sourceID=14","0.0237")</f>
        <v>0.0237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HYPERLINK("http://141.218.60.56/~jnz1568/getInfo.php?workbook=14_06.xlsx&amp;sheet=U0&amp;row=1575&amp;col=6&amp;number=4.1&amp;sourceID=14","4.1")</f>
        <v>4.1</v>
      </c>
      <c r="G1575" s="4" t="str">
        <f>HYPERLINK("http://141.218.60.56/~jnz1568/getInfo.php?workbook=14_06.xlsx&amp;sheet=U0&amp;row=1575&amp;col=7&amp;number=0.0237&amp;sourceID=14","0.0237")</f>
        <v>0.0237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HYPERLINK("http://141.218.60.56/~jnz1568/getInfo.php?workbook=14_06.xlsx&amp;sheet=U0&amp;row=1576&amp;col=6&amp;number=4.2&amp;sourceID=14","4.2")</f>
        <v>4.2</v>
      </c>
      <c r="G1576" s="4" t="str">
        <f>HYPERLINK("http://141.218.60.56/~jnz1568/getInfo.php?workbook=14_06.xlsx&amp;sheet=U0&amp;row=1576&amp;col=7&amp;number=0.0237&amp;sourceID=14","0.0237")</f>
        <v>0.0237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HYPERLINK("http://141.218.60.56/~jnz1568/getInfo.php?workbook=14_06.xlsx&amp;sheet=U0&amp;row=1577&amp;col=6&amp;number=4.3&amp;sourceID=14","4.3")</f>
        <v>4.3</v>
      </c>
      <c r="G1577" s="4" t="str">
        <f>HYPERLINK("http://141.218.60.56/~jnz1568/getInfo.php?workbook=14_06.xlsx&amp;sheet=U0&amp;row=1577&amp;col=7&amp;number=0.0236&amp;sourceID=14","0.0236")</f>
        <v>0.0236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HYPERLINK("http://141.218.60.56/~jnz1568/getInfo.php?workbook=14_06.xlsx&amp;sheet=U0&amp;row=1578&amp;col=6&amp;number=4.4&amp;sourceID=14","4.4")</f>
        <v>4.4</v>
      </c>
      <c r="G1578" s="4" t="str">
        <f>HYPERLINK("http://141.218.60.56/~jnz1568/getInfo.php?workbook=14_06.xlsx&amp;sheet=U0&amp;row=1578&amp;col=7&amp;number=0.0236&amp;sourceID=14","0.0236")</f>
        <v>0.0236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HYPERLINK("http://141.218.60.56/~jnz1568/getInfo.php?workbook=14_06.xlsx&amp;sheet=U0&amp;row=1579&amp;col=6&amp;number=4.5&amp;sourceID=14","4.5")</f>
        <v>4.5</v>
      </c>
      <c r="G1579" s="4" t="str">
        <f>HYPERLINK("http://141.218.60.56/~jnz1568/getInfo.php?workbook=14_06.xlsx&amp;sheet=U0&amp;row=1579&amp;col=7&amp;number=0.0235&amp;sourceID=14","0.0235")</f>
        <v>0.0235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HYPERLINK("http://141.218.60.56/~jnz1568/getInfo.php?workbook=14_06.xlsx&amp;sheet=U0&amp;row=1580&amp;col=6&amp;number=4.6&amp;sourceID=14","4.6")</f>
        <v>4.6</v>
      </c>
      <c r="G1580" s="4" t="str">
        <f>HYPERLINK("http://141.218.60.56/~jnz1568/getInfo.php?workbook=14_06.xlsx&amp;sheet=U0&amp;row=1580&amp;col=7&amp;number=0.0235&amp;sourceID=14","0.0235")</f>
        <v>0.0235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HYPERLINK("http://141.218.60.56/~jnz1568/getInfo.php?workbook=14_06.xlsx&amp;sheet=U0&amp;row=1581&amp;col=6&amp;number=4.7&amp;sourceID=14","4.7")</f>
        <v>4.7</v>
      </c>
      <c r="G1581" s="4" t="str">
        <f>HYPERLINK("http://141.218.60.56/~jnz1568/getInfo.php?workbook=14_06.xlsx&amp;sheet=U0&amp;row=1581&amp;col=7&amp;number=0.0234&amp;sourceID=14","0.0234")</f>
        <v>0.0234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HYPERLINK("http://141.218.60.56/~jnz1568/getInfo.php?workbook=14_06.xlsx&amp;sheet=U0&amp;row=1582&amp;col=6&amp;number=4.8&amp;sourceID=14","4.8")</f>
        <v>4.8</v>
      </c>
      <c r="G1582" s="4" t="str">
        <f>HYPERLINK("http://141.218.60.56/~jnz1568/getInfo.php?workbook=14_06.xlsx&amp;sheet=U0&amp;row=1582&amp;col=7&amp;number=0.0232&amp;sourceID=14","0.0232")</f>
        <v>0.0232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HYPERLINK("http://141.218.60.56/~jnz1568/getInfo.php?workbook=14_06.xlsx&amp;sheet=U0&amp;row=1583&amp;col=6&amp;number=4.9&amp;sourceID=14","4.9")</f>
        <v>4.9</v>
      </c>
      <c r="G1583" s="4" t="str">
        <f>HYPERLINK("http://141.218.60.56/~jnz1568/getInfo.php?workbook=14_06.xlsx&amp;sheet=U0&amp;row=1583&amp;col=7&amp;number=0.0231&amp;sourceID=14","0.0231")</f>
        <v>0.0231</v>
      </c>
    </row>
    <row r="1584" spans="1:7">
      <c r="A1584" s="3">
        <v>14</v>
      </c>
      <c r="B1584" s="3">
        <v>6</v>
      </c>
      <c r="C1584" s="3">
        <v>2</v>
      </c>
      <c r="D1584" s="3">
        <v>37</v>
      </c>
      <c r="E1584" s="3">
        <v>1</v>
      </c>
      <c r="F1584" s="4" t="str">
        <f>HYPERLINK("http://141.218.60.56/~jnz1568/getInfo.php?workbook=14_06.xlsx&amp;sheet=U0&amp;row=1584&amp;col=6&amp;number=3&amp;sourceID=14","3")</f>
        <v>3</v>
      </c>
      <c r="G1584" s="4" t="str">
        <f>HYPERLINK("http://141.218.60.56/~jnz1568/getInfo.php?workbook=14_06.xlsx&amp;sheet=U0&amp;row=1584&amp;col=7&amp;number=0.0282&amp;sourceID=14","0.0282")</f>
        <v>0.0282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HYPERLINK("http://141.218.60.56/~jnz1568/getInfo.php?workbook=14_06.xlsx&amp;sheet=U0&amp;row=1585&amp;col=6&amp;number=3.1&amp;sourceID=14","3.1")</f>
        <v>3.1</v>
      </c>
      <c r="G1585" s="4" t="str">
        <f>HYPERLINK("http://141.218.60.56/~jnz1568/getInfo.php?workbook=14_06.xlsx&amp;sheet=U0&amp;row=1585&amp;col=7&amp;number=0.0282&amp;sourceID=14","0.0282")</f>
        <v>0.0282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HYPERLINK("http://141.218.60.56/~jnz1568/getInfo.php?workbook=14_06.xlsx&amp;sheet=U0&amp;row=1586&amp;col=6&amp;number=3.2&amp;sourceID=14","3.2")</f>
        <v>3.2</v>
      </c>
      <c r="G1586" s="4" t="str">
        <f>HYPERLINK("http://141.218.60.56/~jnz1568/getInfo.php?workbook=14_06.xlsx&amp;sheet=U0&amp;row=1586&amp;col=7&amp;number=0.0282&amp;sourceID=14","0.0282")</f>
        <v>0.0282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HYPERLINK("http://141.218.60.56/~jnz1568/getInfo.php?workbook=14_06.xlsx&amp;sheet=U0&amp;row=1587&amp;col=6&amp;number=3.3&amp;sourceID=14","3.3")</f>
        <v>3.3</v>
      </c>
      <c r="G1587" s="4" t="str">
        <f>HYPERLINK("http://141.218.60.56/~jnz1568/getInfo.php?workbook=14_06.xlsx&amp;sheet=U0&amp;row=1587&amp;col=7&amp;number=0.0282&amp;sourceID=14","0.0282")</f>
        <v>0.0282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HYPERLINK("http://141.218.60.56/~jnz1568/getInfo.php?workbook=14_06.xlsx&amp;sheet=U0&amp;row=1588&amp;col=6&amp;number=3.4&amp;sourceID=14","3.4")</f>
        <v>3.4</v>
      </c>
      <c r="G1588" s="4" t="str">
        <f>HYPERLINK("http://141.218.60.56/~jnz1568/getInfo.php?workbook=14_06.xlsx&amp;sheet=U0&amp;row=1588&amp;col=7&amp;number=0.0282&amp;sourceID=14","0.0282")</f>
        <v>0.0282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HYPERLINK("http://141.218.60.56/~jnz1568/getInfo.php?workbook=14_06.xlsx&amp;sheet=U0&amp;row=1589&amp;col=6&amp;number=3.5&amp;sourceID=14","3.5")</f>
        <v>3.5</v>
      </c>
      <c r="G1589" s="4" t="str">
        <f>HYPERLINK("http://141.218.60.56/~jnz1568/getInfo.php?workbook=14_06.xlsx&amp;sheet=U0&amp;row=1589&amp;col=7&amp;number=0.0282&amp;sourceID=14","0.0282")</f>
        <v>0.0282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HYPERLINK("http://141.218.60.56/~jnz1568/getInfo.php?workbook=14_06.xlsx&amp;sheet=U0&amp;row=1590&amp;col=6&amp;number=3.6&amp;sourceID=14","3.6")</f>
        <v>3.6</v>
      </c>
      <c r="G1590" s="4" t="str">
        <f>HYPERLINK("http://141.218.60.56/~jnz1568/getInfo.php?workbook=14_06.xlsx&amp;sheet=U0&amp;row=1590&amp;col=7&amp;number=0.0282&amp;sourceID=14","0.0282")</f>
        <v>0.0282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HYPERLINK("http://141.218.60.56/~jnz1568/getInfo.php?workbook=14_06.xlsx&amp;sheet=U0&amp;row=1591&amp;col=6&amp;number=3.7&amp;sourceID=14","3.7")</f>
        <v>3.7</v>
      </c>
      <c r="G1591" s="4" t="str">
        <f>HYPERLINK("http://141.218.60.56/~jnz1568/getInfo.php?workbook=14_06.xlsx&amp;sheet=U0&amp;row=1591&amp;col=7&amp;number=0.0281&amp;sourceID=14","0.0281")</f>
        <v>0.0281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HYPERLINK("http://141.218.60.56/~jnz1568/getInfo.php?workbook=14_06.xlsx&amp;sheet=U0&amp;row=1592&amp;col=6&amp;number=3.8&amp;sourceID=14","3.8")</f>
        <v>3.8</v>
      </c>
      <c r="G1592" s="4" t="str">
        <f>HYPERLINK("http://141.218.60.56/~jnz1568/getInfo.php?workbook=14_06.xlsx&amp;sheet=U0&amp;row=1592&amp;col=7&amp;number=0.0281&amp;sourceID=14","0.0281")</f>
        <v>0.0281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HYPERLINK("http://141.218.60.56/~jnz1568/getInfo.php?workbook=14_06.xlsx&amp;sheet=U0&amp;row=1593&amp;col=6&amp;number=3.9&amp;sourceID=14","3.9")</f>
        <v>3.9</v>
      </c>
      <c r="G1593" s="4" t="str">
        <f>HYPERLINK("http://141.218.60.56/~jnz1568/getInfo.php?workbook=14_06.xlsx&amp;sheet=U0&amp;row=1593&amp;col=7&amp;number=0.0281&amp;sourceID=14","0.0281")</f>
        <v>0.0281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HYPERLINK("http://141.218.60.56/~jnz1568/getInfo.php?workbook=14_06.xlsx&amp;sheet=U0&amp;row=1594&amp;col=6&amp;number=4&amp;sourceID=14","4")</f>
        <v>4</v>
      </c>
      <c r="G1594" s="4" t="str">
        <f>HYPERLINK("http://141.218.60.56/~jnz1568/getInfo.php?workbook=14_06.xlsx&amp;sheet=U0&amp;row=1594&amp;col=7&amp;number=0.0281&amp;sourceID=14","0.0281")</f>
        <v>0.0281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HYPERLINK("http://141.218.60.56/~jnz1568/getInfo.php?workbook=14_06.xlsx&amp;sheet=U0&amp;row=1595&amp;col=6&amp;number=4.1&amp;sourceID=14","4.1")</f>
        <v>4.1</v>
      </c>
      <c r="G1595" s="4" t="str">
        <f>HYPERLINK("http://141.218.60.56/~jnz1568/getInfo.php?workbook=14_06.xlsx&amp;sheet=U0&amp;row=1595&amp;col=7&amp;number=0.0281&amp;sourceID=14","0.0281")</f>
        <v>0.0281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HYPERLINK("http://141.218.60.56/~jnz1568/getInfo.php?workbook=14_06.xlsx&amp;sheet=U0&amp;row=1596&amp;col=6&amp;number=4.2&amp;sourceID=14","4.2")</f>
        <v>4.2</v>
      </c>
      <c r="G1596" s="4" t="str">
        <f>HYPERLINK("http://141.218.60.56/~jnz1568/getInfo.php?workbook=14_06.xlsx&amp;sheet=U0&amp;row=1596&amp;col=7&amp;number=0.0281&amp;sourceID=14","0.0281")</f>
        <v>0.0281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HYPERLINK("http://141.218.60.56/~jnz1568/getInfo.php?workbook=14_06.xlsx&amp;sheet=U0&amp;row=1597&amp;col=6&amp;number=4.3&amp;sourceID=14","4.3")</f>
        <v>4.3</v>
      </c>
      <c r="G1597" s="4" t="str">
        <f>HYPERLINK("http://141.218.60.56/~jnz1568/getInfo.php?workbook=14_06.xlsx&amp;sheet=U0&amp;row=1597&amp;col=7&amp;number=0.028&amp;sourceID=14","0.028")</f>
        <v>0.028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HYPERLINK("http://141.218.60.56/~jnz1568/getInfo.php?workbook=14_06.xlsx&amp;sheet=U0&amp;row=1598&amp;col=6&amp;number=4.4&amp;sourceID=14","4.4")</f>
        <v>4.4</v>
      </c>
      <c r="G1598" s="4" t="str">
        <f>HYPERLINK("http://141.218.60.56/~jnz1568/getInfo.php?workbook=14_06.xlsx&amp;sheet=U0&amp;row=1598&amp;col=7&amp;number=0.028&amp;sourceID=14","0.028")</f>
        <v>0.028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HYPERLINK("http://141.218.60.56/~jnz1568/getInfo.php?workbook=14_06.xlsx&amp;sheet=U0&amp;row=1599&amp;col=6&amp;number=4.5&amp;sourceID=14","4.5")</f>
        <v>4.5</v>
      </c>
      <c r="G1599" s="4" t="str">
        <f>HYPERLINK("http://141.218.60.56/~jnz1568/getInfo.php?workbook=14_06.xlsx&amp;sheet=U0&amp;row=1599&amp;col=7&amp;number=0.028&amp;sourceID=14","0.028")</f>
        <v>0.028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HYPERLINK("http://141.218.60.56/~jnz1568/getInfo.php?workbook=14_06.xlsx&amp;sheet=U0&amp;row=1600&amp;col=6&amp;number=4.6&amp;sourceID=14","4.6")</f>
        <v>4.6</v>
      </c>
      <c r="G1600" s="4" t="str">
        <f>HYPERLINK("http://141.218.60.56/~jnz1568/getInfo.php?workbook=14_06.xlsx&amp;sheet=U0&amp;row=1600&amp;col=7&amp;number=0.0279&amp;sourceID=14","0.0279")</f>
        <v>0.0279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HYPERLINK("http://141.218.60.56/~jnz1568/getInfo.php?workbook=14_06.xlsx&amp;sheet=U0&amp;row=1601&amp;col=6&amp;number=4.7&amp;sourceID=14","4.7")</f>
        <v>4.7</v>
      </c>
      <c r="G1601" s="4" t="str">
        <f>HYPERLINK("http://141.218.60.56/~jnz1568/getInfo.php?workbook=14_06.xlsx&amp;sheet=U0&amp;row=1601&amp;col=7&amp;number=0.0279&amp;sourceID=14","0.0279")</f>
        <v>0.0279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HYPERLINK("http://141.218.60.56/~jnz1568/getInfo.php?workbook=14_06.xlsx&amp;sheet=U0&amp;row=1602&amp;col=6&amp;number=4.8&amp;sourceID=14","4.8")</f>
        <v>4.8</v>
      </c>
      <c r="G1602" s="4" t="str">
        <f>HYPERLINK("http://141.218.60.56/~jnz1568/getInfo.php?workbook=14_06.xlsx&amp;sheet=U0&amp;row=1602&amp;col=7&amp;number=0.0278&amp;sourceID=14","0.0278")</f>
        <v>0.0278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HYPERLINK("http://141.218.60.56/~jnz1568/getInfo.php?workbook=14_06.xlsx&amp;sheet=U0&amp;row=1603&amp;col=6&amp;number=4.9&amp;sourceID=14","4.9")</f>
        <v>4.9</v>
      </c>
      <c r="G1603" s="4" t="str">
        <f>HYPERLINK("http://141.218.60.56/~jnz1568/getInfo.php?workbook=14_06.xlsx&amp;sheet=U0&amp;row=1603&amp;col=7&amp;number=0.0277&amp;sourceID=14","0.0277")</f>
        <v>0.0277</v>
      </c>
    </row>
    <row r="1604" spans="1:7">
      <c r="A1604" s="3">
        <v>14</v>
      </c>
      <c r="B1604" s="3">
        <v>6</v>
      </c>
      <c r="C1604" s="3">
        <v>2</v>
      </c>
      <c r="D1604" s="3">
        <v>38</v>
      </c>
      <c r="E1604" s="3">
        <v>1</v>
      </c>
      <c r="F1604" s="4" t="str">
        <f>HYPERLINK("http://141.218.60.56/~jnz1568/getInfo.php?workbook=14_06.xlsx&amp;sheet=U0&amp;row=1604&amp;col=6&amp;number=3&amp;sourceID=14","3")</f>
        <v>3</v>
      </c>
      <c r="G1604" s="4" t="str">
        <f>HYPERLINK("http://141.218.60.56/~jnz1568/getInfo.php?workbook=14_06.xlsx&amp;sheet=U0&amp;row=1604&amp;col=7&amp;number=0.0175&amp;sourceID=14","0.0175")</f>
        <v>0.0175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HYPERLINK("http://141.218.60.56/~jnz1568/getInfo.php?workbook=14_06.xlsx&amp;sheet=U0&amp;row=1605&amp;col=6&amp;number=3.1&amp;sourceID=14","3.1")</f>
        <v>3.1</v>
      </c>
      <c r="G1605" s="4" t="str">
        <f>HYPERLINK("http://141.218.60.56/~jnz1568/getInfo.php?workbook=14_06.xlsx&amp;sheet=U0&amp;row=1605&amp;col=7&amp;number=0.0175&amp;sourceID=14","0.0175")</f>
        <v>0.0175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HYPERLINK("http://141.218.60.56/~jnz1568/getInfo.php?workbook=14_06.xlsx&amp;sheet=U0&amp;row=1606&amp;col=6&amp;number=3.2&amp;sourceID=14","3.2")</f>
        <v>3.2</v>
      </c>
      <c r="G1606" s="4" t="str">
        <f>HYPERLINK("http://141.218.60.56/~jnz1568/getInfo.php?workbook=14_06.xlsx&amp;sheet=U0&amp;row=1606&amp;col=7&amp;number=0.0175&amp;sourceID=14","0.0175")</f>
        <v>0.0175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HYPERLINK("http://141.218.60.56/~jnz1568/getInfo.php?workbook=14_06.xlsx&amp;sheet=U0&amp;row=1607&amp;col=6&amp;number=3.3&amp;sourceID=14","3.3")</f>
        <v>3.3</v>
      </c>
      <c r="G1607" s="4" t="str">
        <f>HYPERLINK("http://141.218.60.56/~jnz1568/getInfo.php?workbook=14_06.xlsx&amp;sheet=U0&amp;row=1607&amp;col=7&amp;number=0.0175&amp;sourceID=14","0.0175")</f>
        <v>0.0175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HYPERLINK("http://141.218.60.56/~jnz1568/getInfo.php?workbook=14_06.xlsx&amp;sheet=U0&amp;row=1608&amp;col=6&amp;number=3.4&amp;sourceID=14","3.4")</f>
        <v>3.4</v>
      </c>
      <c r="G1608" s="4" t="str">
        <f>HYPERLINK("http://141.218.60.56/~jnz1568/getInfo.php?workbook=14_06.xlsx&amp;sheet=U0&amp;row=1608&amp;col=7&amp;number=0.0175&amp;sourceID=14","0.0175")</f>
        <v>0.0175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HYPERLINK("http://141.218.60.56/~jnz1568/getInfo.php?workbook=14_06.xlsx&amp;sheet=U0&amp;row=1609&amp;col=6&amp;number=3.5&amp;sourceID=14","3.5")</f>
        <v>3.5</v>
      </c>
      <c r="G1609" s="4" t="str">
        <f>HYPERLINK("http://141.218.60.56/~jnz1568/getInfo.php?workbook=14_06.xlsx&amp;sheet=U0&amp;row=1609&amp;col=7&amp;number=0.0175&amp;sourceID=14","0.0175")</f>
        <v>0.0175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HYPERLINK("http://141.218.60.56/~jnz1568/getInfo.php?workbook=14_06.xlsx&amp;sheet=U0&amp;row=1610&amp;col=6&amp;number=3.6&amp;sourceID=14","3.6")</f>
        <v>3.6</v>
      </c>
      <c r="G1610" s="4" t="str">
        <f>HYPERLINK("http://141.218.60.56/~jnz1568/getInfo.php?workbook=14_06.xlsx&amp;sheet=U0&amp;row=1610&amp;col=7&amp;number=0.0175&amp;sourceID=14","0.0175")</f>
        <v>0.0175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HYPERLINK("http://141.218.60.56/~jnz1568/getInfo.php?workbook=14_06.xlsx&amp;sheet=U0&amp;row=1611&amp;col=6&amp;number=3.7&amp;sourceID=14","3.7")</f>
        <v>3.7</v>
      </c>
      <c r="G1611" s="4" t="str">
        <f>HYPERLINK("http://141.218.60.56/~jnz1568/getInfo.php?workbook=14_06.xlsx&amp;sheet=U0&amp;row=1611&amp;col=7&amp;number=0.0175&amp;sourceID=14","0.0175")</f>
        <v>0.0175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HYPERLINK("http://141.218.60.56/~jnz1568/getInfo.php?workbook=14_06.xlsx&amp;sheet=U0&amp;row=1612&amp;col=6&amp;number=3.8&amp;sourceID=14","3.8")</f>
        <v>3.8</v>
      </c>
      <c r="G1612" s="4" t="str">
        <f>HYPERLINK("http://141.218.60.56/~jnz1568/getInfo.php?workbook=14_06.xlsx&amp;sheet=U0&amp;row=1612&amp;col=7&amp;number=0.0175&amp;sourceID=14","0.0175")</f>
        <v>0.0175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HYPERLINK("http://141.218.60.56/~jnz1568/getInfo.php?workbook=14_06.xlsx&amp;sheet=U0&amp;row=1613&amp;col=6&amp;number=3.9&amp;sourceID=14","3.9")</f>
        <v>3.9</v>
      </c>
      <c r="G1613" s="4" t="str">
        <f>HYPERLINK("http://141.218.60.56/~jnz1568/getInfo.php?workbook=14_06.xlsx&amp;sheet=U0&amp;row=1613&amp;col=7&amp;number=0.0174&amp;sourceID=14","0.0174")</f>
        <v>0.0174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HYPERLINK("http://141.218.60.56/~jnz1568/getInfo.php?workbook=14_06.xlsx&amp;sheet=U0&amp;row=1614&amp;col=6&amp;number=4&amp;sourceID=14","4")</f>
        <v>4</v>
      </c>
      <c r="G1614" s="4" t="str">
        <f>HYPERLINK("http://141.218.60.56/~jnz1568/getInfo.php?workbook=14_06.xlsx&amp;sheet=U0&amp;row=1614&amp;col=7&amp;number=0.0174&amp;sourceID=14","0.0174")</f>
        <v>0.0174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HYPERLINK("http://141.218.60.56/~jnz1568/getInfo.php?workbook=14_06.xlsx&amp;sheet=U0&amp;row=1615&amp;col=6&amp;number=4.1&amp;sourceID=14","4.1")</f>
        <v>4.1</v>
      </c>
      <c r="G1615" s="4" t="str">
        <f>HYPERLINK("http://141.218.60.56/~jnz1568/getInfo.php?workbook=14_06.xlsx&amp;sheet=U0&amp;row=1615&amp;col=7&amp;number=0.0174&amp;sourceID=14","0.0174")</f>
        <v>0.0174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HYPERLINK("http://141.218.60.56/~jnz1568/getInfo.php?workbook=14_06.xlsx&amp;sheet=U0&amp;row=1616&amp;col=6&amp;number=4.2&amp;sourceID=14","4.2")</f>
        <v>4.2</v>
      </c>
      <c r="G1616" s="4" t="str">
        <f>HYPERLINK("http://141.218.60.56/~jnz1568/getInfo.php?workbook=14_06.xlsx&amp;sheet=U0&amp;row=1616&amp;col=7&amp;number=0.0174&amp;sourceID=14","0.0174")</f>
        <v>0.0174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HYPERLINK("http://141.218.60.56/~jnz1568/getInfo.php?workbook=14_06.xlsx&amp;sheet=U0&amp;row=1617&amp;col=6&amp;number=4.3&amp;sourceID=14","4.3")</f>
        <v>4.3</v>
      </c>
      <c r="G1617" s="4" t="str">
        <f>HYPERLINK("http://141.218.60.56/~jnz1568/getInfo.php?workbook=14_06.xlsx&amp;sheet=U0&amp;row=1617&amp;col=7&amp;number=0.0174&amp;sourceID=14","0.0174")</f>
        <v>0.0174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HYPERLINK("http://141.218.60.56/~jnz1568/getInfo.php?workbook=14_06.xlsx&amp;sheet=U0&amp;row=1618&amp;col=6&amp;number=4.4&amp;sourceID=14","4.4")</f>
        <v>4.4</v>
      </c>
      <c r="G1618" s="4" t="str">
        <f>HYPERLINK("http://141.218.60.56/~jnz1568/getInfo.php?workbook=14_06.xlsx&amp;sheet=U0&amp;row=1618&amp;col=7&amp;number=0.0174&amp;sourceID=14","0.0174")</f>
        <v>0.0174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HYPERLINK("http://141.218.60.56/~jnz1568/getInfo.php?workbook=14_06.xlsx&amp;sheet=U0&amp;row=1619&amp;col=6&amp;number=4.5&amp;sourceID=14","4.5")</f>
        <v>4.5</v>
      </c>
      <c r="G1619" s="4" t="str">
        <f>HYPERLINK("http://141.218.60.56/~jnz1568/getInfo.php?workbook=14_06.xlsx&amp;sheet=U0&amp;row=1619&amp;col=7&amp;number=0.0173&amp;sourceID=14","0.0173")</f>
        <v>0.0173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HYPERLINK("http://141.218.60.56/~jnz1568/getInfo.php?workbook=14_06.xlsx&amp;sheet=U0&amp;row=1620&amp;col=6&amp;number=4.6&amp;sourceID=14","4.6")</f>
        <v>4.6</v>
      </c>
      <c r="G1620" s="4" t="str">
        <f>HYPERLINK("http://141.218.60.56/~jnz1568/getInfo.php?workbook=14_06.xlsx&amp;sheet=U0&amp;row=1620&amp;col=7&amp;number=0.0173&amp;sourceID=14","0.0173")</f>
        <v>0.0173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HYPERLINK("http://141.218.60.56/~jnz1568/getInfo.php?workbook=14_06.xlsx&amp;sheet=U0&amp;row=1621&amp;col=6&amp;number=4.7&amp;sourceID=14","4.7")</f>
        <v>4.7</v>
      </c>
      <c r="G1621" s="4" t="str">
        <f>HYPERLINK("http://141.218.60.56/~jnz1568/getInfo.php?workbook=14_06.xlsx&amp;sheet=U0&amp;row=1621&amp;col=7&amp;number=0.0173&amp;sourceID=14","0.0173")</f>
        <v>0.0173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HYPERLINK("http://141.218.60.56/~jnz1568/getInfo.php?workbook=14_06.xlsx&amp;sheet=U0&amp;row=1622&amp;col=6&amp;number=4.8&amp;sourceID=14","4.8")</f>
        <v>4.8</v>
      </c>
      <c r="G1622" s="4" t="str">
        <f>HYPERLINK("http://141.218.60.56/~jnz1568/getInfo.php?workbook=14_06.xlsx&amp;sheet=U0&amp;row=1622&amp;col=7&amp;number=0.0172&amp;sourceID=14","0.0172")</f>
        <v>0.0172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HYPERLINK("http://141.218.60.56/~jnz1568/getInfo.php?workbook=14_06.xlsx&amp;sheet=U0&amp;row=1623&amp;col=6&amp;number=4.9&amp;sourceID=14","4.9")</f>
        <v>4.9</v>
      </c>
      <c r="G1623" s="4" t="str">
        <f>HYPERLINK("http://141.218.60.56/~jnz1568/getInfo.php?workbook=14_06.xlsx&amp;sheet=U0&amp;row=1623&amp;col=7&amp;number=0.0172&amp;sourceID=14","0.0172")</f>
        <v>0.0172</v>
      </c>
    </row>
    <row r="1624" spans="1:7">
      <c r="A1624" s="3">
        <v>14</v>
      </c>
      <c r="B1624" s="3">
        <v>6</v>
      </c>
      <c r="C1624" s="3">
        <v>2</v>
      </c>
      <c r="D1624" s="3">
        <v>39</v>
      </c>
      <c r="E1624" s="3">
        <v>1</v>
      </c>
      <c r="F1624" s="4" t="str">
        <f>HYPERLINK("http://141.218.60.56/~jnz1568/getInfo.php?workbook=14_06.xlsx&amp;sheet=U0&amp;row=1624&amp;col=6&amp;number=3&amp;sourceID=14","3")</f>
        <v>3</v>
      </c>
      <c r="G1624" s="4" t="str">
        <f>HYPERLINK("http://141.218.60.56/~jnz1568/getInfo.php?workbook=14_06.xlsx&amp;sheet=U0&amp;row=1624&amp;col=7&amp;number=0.0628&amp;sourceID=14","0.0628")</f>
        <v>0.0628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HYPERLINK("http://141.218.60.56/~jnz1568/getInfo.php?workbook=14_06.xlsx&amp;sheet=U0&amp;row=1625&amp;col=6&amp;number=3.1&amp;sourceID=14","3.1")</f>
        <v>3.1</v>
      </c>
      <c r="G1625" s="4" t="str">
        <f>HYPERLINK("http://141.218.60.56/~jnz1568/getInfo.php?workbook=14_06.xlsx&amp;sheet=U0&amp;row=1625&amp;col=7&amp;number=0.0628&amp;sourceID=14","0.0628")</f>
        <v>0.0628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HYPERLINK("http://141.218.60.56/~jnz1568/getInfo.php?workbook=14_06.xlsx&amp;sheet=U0&amp;row=1626&amp;col=6&amp;number=3.2&amp;sourceID=14","3.2")</f>
        <v>3.2</v>
      </c>
      <c r="G1626" s="4" t="str">
        <f>HYPERLINK("http://141.218.60.56/~jnz1568/getInfo.php?workbook=14_06.xlsx&amp;sheet=U0&amp;row=1626&amp;col=7&amp;number=0.0629&amp;sourceID=14","0.0629")</f>
        <v>0.0629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HYPERLINK("http://141.218.60.56/~jnz1568/getInfo.php?workbook=14_06.xlsx&amp;sheet=U0&amp;row=1627&amp;col=6&amp;number=3.3&amp;sourceID=14","3.3")</f>
        <v>3.3</v>
      </c>
      <c r="G1627" s="4" t="str">
        <f>HYPERLINK("http://141.218.60.56/~jnz1568/getInfo.php?workbook=14_06.xlsx&amp;sheet=U0&amp;row=1627&amp;col=7&amp;number=0.0629&amp;sourceID=14","0.0629")</f>
        <v>0.0629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HYPERLINK("http://141.218.60.56/~jnz1568/getInfo.php?workbook=14_06.xlsx&amp;sheet=U0&amp;row=1628&amp;col=6&amp;number=3.4&amp;sourceID=14","3.4")</f>
        <v>3.4</v>
      </c>
      <c r="G1628" s="4" t="str">
        <f>HYPERLINK("http://141.218.60.56/~jnz1568/getInfo.php?workbook=14_06.xlsx&amp;sheet=U0&amp;row=1628&amp;col=7&amp;number=0.0629&amp;sourceID=14","0.0629")</f>
        <v>0.0629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HYPERLINK("http://141.218.60.56/~jnz1568/getInfo.php?workbook=14_06.xlsx&amp;sheet=U0&amp;row=1629&amp;col=6&amp;number=3.5&amp;sourceID=14","3.5")</f>
        <v>3.5</v>
      </c>
      <c r="G1629" s="4" t="str">
        <f>HYPERLINK("http://141.218.60.56/~jnz1568/getInfo.php?workbook=14_06.xlsx&amp;sheet=U0&amp;row=1629&amp;col=7&amp;number=0.0629&amp;sourceID=14","0.0629")</f>
        <v>0.0629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HYPERLINK("http://141.218.60.56/~jnz1568/getInfo.php?workbook=14_06.xlsx&amp;sheet=U0&amp;row=1630&amp;col=6&amp;number=3.6&amp;sourceID=14","3.6")</f>
        <v>3.6</v>
      </c>
      <c r="G1630" s="4" t="str">
        <f>HYPERLINK("http://141.218.60.56/~jnz1568/getInfo.php?workbook=14_06.xlsx&amp;sheet=U0&amp;row=1630&amp;col=7&amp;number=0.0629&amp;sourceID=14","0.0629")</f>
        <v>0.0629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HYPERLINK("http://141.218.60.56/~jnz1568/getInfo.php?workbook=14_06.xlsx&amp;sheet=U0&amp;row=1631&amp;col=6&amp;number=3.7&amp;sourceID=14","3.7")</f>
        <v>3.7</v>
      </c>
      <c r="G1631" s="4" t="str">
        <f>HYPERLINK("http://141.218.60.56/~jnz1568/getInfo.php?workbook=14_06.xlsx&amp;sheet=U0&amp;row=1631&amp;col=7&amp;number=0.0629&amp;sourceID=14","0.0629")</f>
        <v>0.0629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HYPERLINK("http://141.218.60.56/~jnz1568/getInfo.php?workbook=14_06.xlsx&amp;sheet=U0&amp;row=1632&amp;col=6&amp;number=3.8&amp;sourceID=14","3.8")</f>
        <v>3.8</v>
      </c>
      <c r="G1632" s="4" t="str">
        <f>HYPERLINK("http://141.218.60.56/~jnz1568/getInfo.php?workbook=14_06.xlsx&amp;sheet=U0&amp;row=1632&amp;col=7&amp;number=0.0629&amp;sourceID=14","0.0629")</f>
        <v>0.0629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HYPERLINK("http://141.218.60.56/~jnz1568/getInfo.php?workbook=14_06.xlsx&amp;sheet=U0&amp;row=1633&amp;col=6&amp;number=3.9&amp;sourceID=14","3.9")</f>
        <v>3.9</v>
      </c>
      <c r="G1633" s="4" t="str">
        <f>HYPERLINK("http://141.218.60.56/~jnz1568/getInfo.php?workbook=14_06.xlsx&amp;sheet=U0&amp;row=1633&amp;col=7&amp;number=0.063&amp;sourceID=14","0.063")</f>
        <v>0.063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HYPERLINK("http://141.218.60.56/~jnz1568/getInfo.php?workbook=14_06.xlsx&amp;sheet=U0&amp;row=1634&amp;col=6&amp;number=4&amp;sourceID=14","4")</f>
        <v>4</v>
      </c>
      <c r="G1634" s="4" t="str">
        <f>HYPERLINK("http://141.218.60.56/~jnz1568/getInfo.php?workbook=14_06.xlsx&amp;sheet=U0&amp;row=1634&amp;col=7&amp;number=0.063&amp;sourceID=14","0.063")</f>
        <v>0.063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HYPERLINK("http://141.218.60.56/~jnz1568/getInfo.php?workbook=14_06.xlsx&amp;sheet=U0&amp;row=1635&amp;col=6&amp;number=4.1&amp;sourceID=14","4.1")</f>
        <v>4.1</v>
      </c>
      <c r="G1635" s="4" t="str">
        <f>HYPERLINK("http://141.218.60.56/~jnz1568/getInfo.php?workbook=14_06.xlsx&amp;sheet=U0&amp;row=1635&amp;col=7&amp;number=0.063&amp;sourceID=14","0.063")</f>
        <v>0.063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HYPERLINK("http://141.218.60.56/~jnz1568/getInfo.php?workbook=14_06.xlsx&amp;sheet=U0&amp;row=1636&amp;col=6&amp;number=4.2&amp;sourceID=14","4.2")</f>
        <v>4.2</v>
      </c>
      <c r="G1636" s="4" t="str">
        <f>HYPERLINK("http://141.218.60.56/~jnz1568/getInfo.php?workbook=14_06.xlsx&amp;sheet=U0&amp;row=1636&amp;col=7&amp;number=0.0631&amp;sourceID=14","0.0631")</f>
        <v>0.0631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HYPERLINK("http://141.218.60.56/~jnz1568/getInfo.php?workbook=14_06.xlsx&amp;sheet=U0&amp;row=1637&amp;col=6&amp;number=4.3&amp;sourceID=14","4.3")</f>
        <v>4.3</v>
      </c>
      <c r="G1637" s="4" t="str">
        <f>HYPERLINK("http://141.218.60.56/~jnz1568/getInfo.php?workbook=14_06.xlsx&amp;sheet=U0&amp;row=1637&amp;col=7&amp;number=0.0631&amp;sourceID=14","0.0631")</f>
        <v>0.0631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HYPERLINK("http://141.218.60.56/~jnz1568/getInfo.php?workbook=14_06.xlsx&amp;sheet=U0&amp;row=1638&amp;col=6&amp;number=4.4&amp;sourceID=14","4.4")</f>
        <v>4.4</v>
      </c>
      <c r="G1638" s="4" t="str">
        <f>HYPERLINK("http://141.218.60.56/~jnz1568/getInfo.php?workbook=14_06.xlsx&amp;sheet=U0&amp;row=1638&amp;col=7&amp;number=0.0632&amp;sourceID=14","0.0632")</f>
        <v>0.0632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HYPERLINK("http://141.218.60.56/~jnz1568/getInfo.php?workbook=14_06.xlsx&amp;sheet=U0&amp;row=1639&amp;col=6&amp;number=4.5&amp;sourceID=14","4.5")</f>
        <v>4.5</v>
      </c>
      <c r="G1639" s="4" t="str">
        <f>HYPERLINK("http://141.218.60.56/~jnz1568/getInfo.php?workbook=14_06.xlsx&amp;sheet=U0&amp;row=1639&amp;col=7&amp;number=0.0633&amp;sourceID=14","0.0633")</f>
        <v>0.0633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HYPERLINK("http://141.218.60.56/~jnz1568/getInfo.php?workbook=14_06.xlsx&amp;sheet=U0&amp;row=1640&amp;col=6&amp;number=4.6&amp;sourceID=14","4.6")</f>
        <v>4.6</v>
      </c>
      <c r="G1640" s="4" t="str">
        <f>HYPERLINK("http://141.218.60.56/~jnz1568/getInfo.php?workbook=14_06.xlsx&amp;sheet=U0&amp;row=1640&amp;col=7&amp;number=0.0634&amp;sourceID=14","0.0634")</f>
        <v>0.0634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HYPERLINK("http://141.218.60.56/~jnz1568/getInfo.php?workbook=14_06.xlsx&amp;sheet=U0&amp;row=1641&amp;col=6&amp;number=4.7&amp;sourceID=14","4.7")</f>
        <v>4.7</v>
      </c>
      <c r="G1641" s="4" t="str">
        <f>HYPERLINK("http://141.218.60.56/~jnz1568/getInfo.php?workbook=14_06.xlsx&amp;sheet=U0&amp;row=1641&amp;col=7&amp;number=0.0636&amp;sourceID=14","0.0636")</f>
        <v>0.0636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HYPERLINK("http://141.218.60.56/~jnz1568/getInfo.php?workbook=14_06.xlsx&amp;sheet=U0&amp;row=1642&amp;col=6&amp;number=4.8&amp;sourceID=14","4.8")</f>
        <v>4.8</v>
      </c>
      <c r="G1642" s="4" t="str">
        <f>HYPERLINK("http://141.218.60.56/~jnz1568/getInfo.php?workbook=14_06.xlsx&amp;sheet=U0&amp;row=1642&amp;col=7&amp;number=0.0638&amp;sourceID=14","0.0638")</f>
        <v>0.0638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HYPERLINK("http://141.218.60.56/~jnz1568/getInfo.php?workbook=14_06.xlsx&amp;sheet=U0&amp;row=1643&amp;col=6&amp;number=4.9&amp;sourceID=14","4.9")</f>
        <v>4.9</v>
      </c>
      <c r="G1643" s="4" t="str">
        <f>HYPERLINK("http://141.218.60.56/~jnz1568/getInfo.php?workbook=14_06.xlsx&amp;sheet=U0&amp;row=1643&amp;col=7&amp;number=0.064&amp;sourceID=14","0.064")</f>
        <v>0.064</v>
      </c>
    </row>
    <row r="1644" spans="1:7">
      <c r="A1644" s="3">
        <v>14</v>
      </c>
      <c r="B1644" s="3">
        <v>6</v>
      </c>
      <c r="C1644" s="3">
        <v>2</v>
      </c>
      <c r="D1644" s="3">
        <v>40</v>
      </c>
      <c r="E1644" s="3">
        <v>1</v>
      </c>
      <c r="F1644" s="4" t="str">
        <f>HYPERLINK("http://141.218.60.56/~jnz1568/getInfo.php?workbook=14_06.xlsx&amp;sheet=U0&amp;row=1644&amp;col=6&amp;number=3&amp;sourceID=14","3")</f>
        <v>3</v>
      </c>
      <c r="G1644" s="4" t="str">
        <f>HYPERLINK("http://141.218.60.56/~jnz1568/getInfo.php?workbook=14_06.xlsx&amp;sheet=U0&amp;row=1644&amp;col=7&amp;number=0.246&amp;sourceID=14","0.246")</f>
        <v>0.246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HYPERLINK("http://141.218.60.56/~jnz1568/getInfo.php?workbook=14_06.xlsx&amp;sheet=U0&amp;row=1645&amp;col=6&amp;number=3.1&amp;sourceID=14","3.1")</f>
        <v>3.1</v>
      </c>
      <c r="G1645" s="4" t="str">
        <f>HYPERLINK("http://141.218.60.56/~jnz1568/getInfo.php?workbook=14_06.xlsx&amp;sheet=U0&amp;row=1645&amp;col=7&amp;number=0.246&amp;sourceID=14","0.246")</f>
        <v>0.246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HYPERLINK("http://141.218.60.56/~jnz1568/getInfo.php?workbook=14_06.xlsx&amp;sheet=U0&amp;row=1646&amp;col=6&amp;number=3.2&amp;sourceID=14","3.2")</f>
        <v>3.2</v>
      </c>
      <c r="G1646" s="4" t="str">
        <f>HYPERLINK("http://141.218.60.56/~jnz1568/getInfo.php?workbook=14_06.xlsx&amp;sheet=U0&amp;row=1646&amp;col=7&amp;number=0.246&amp;sourceID=14","0.246")</f>
        <v>0.246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HYPERLINK("http://141.218.60.56/~jnz1568/getInfo.php?workbook=14_06.xlsx&amp;sheet=U0&amp;row=1647&amp;col=6&amp;number=3.3&amp;sourceID=14","3.3")</f>
        <v>3.3</v>
      </c>
      <c r="G1647" s="4" t="str">
        <f>HYPERLINK("http://141.218.60.56/~jnz1568/getInfo.php?workbook=14_06.xlsx&amp;sheet=U0&amp;row=1647&amp;col=7&amp;number=0.246&amp;sourceID=14","0.246")</f>
        <v>0.246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HYPERLINK("http://141.218.60.56/~jnz1568/getInfo.php?workbook=14_06.xlsx&amp;sheet=U0&amp;row=1648&amp;col=6&amp;number=3.4&amp;sourceID=14","3.4")</f>
        <v>3.4</v>
      </c>
      <c r="G1648" s="4" t="str">
        <f>HYPERLINK("http://141.218.60.56/~jnz1568/getInfo.php?workbook=14_06.xlsx&amp;sheet=U0&amp;row=1648&amp;col=7&amp;number=0.246&amp;sourceID=14","0.246")</f>
        <v>0.246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HYPERLINK("http://141.218.60.56/~jnz1568/getInfo.php?workbook=14_06.xlsx&amp;sheet=U0&amp;row=1649&amp;col=6&amp;number=3.5&amp;sourceID=14","3.5")</f>
        <v>3.5</v>
      </c>
      <c r="G1649" s="4" t="str">
        <f>HYPERLINK("http://141.218.60.56/~jnz1568/getInfo.php?workbook=14_06.xlsx&amp;sheet=U0&amp;row=1649&amp;col=7&amp;number=0.246&amp;sourceID=14","0.246")</f>
        <v>0.246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HYPERLINK("http://141.218.60.56/~jnz1568/getInfo.php?workbook=14_06.xlsx&amp;sheet=U0&amp;row=1650&amp;col=6&amp;number=3.6&amp;sourceID=14","3.6")</f>
        <v>3.6</v>
      </c>
      <c r="G1650" s="4" t="str">
        <f>HYPERLINK("http://141.218.60.56/~jnz1568/getInfo.php?workbook=14_06.xlsx&amp;sheet=U0&amp;row=1650&amp;col=7&amp;number=0.246&amp;sourceID=14","0.246")</f>
        <v>0.246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HYPERLINK("http://141.218.60.56/~jnz1568/getInfo.php?workbook=14_06.xlsx&amp;sheet=U0&amp;row=1651&amp;col=6&amp;number=3.7&amp;sourceID=14","3.7")</f>
        <v>3.7</v>
      </c>
      <c r="G1651" s="4" t="str">
        <f>HYPERLINK("http://141.218.60.56/~jnz1568/getInfo.php?workbook=14_06.xlsx&amp;sheet=U0&amp;row=1651&amp;col=7&amp;number=0.246&amp;sourceID=14","0.246")</f>
        <v>0.246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HYPERLINK("http://141.218.60.56/~jnz1568/getInfo.php?workbook=14_06.xlsx&amp;sheet=U0&amp;row=1652&amp;col=6&amp;number=3.8&amp;sourceID=14","3.8")</f>
        <v>3.8</v>
      </c>
      <c r="G1652" s="4" t="str">
        <f>HYPERLINK("http://141.218.60.56/~jnz1568/getInfo.php?workbook=14_06.xlsx&amp;sheet=U0&amp;row=1652&amp;col=7&amp;number=0.246&amp;sourceID=14","0.246")</f>
        <v>0.246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HYPERLINK("http://141.218.60.56/~jnz1568/getInfo.php?workbook=14_06.xlsx&amp;sheet=U0&amp;row=1653&amp;col=6&amp;number=3.9&amp;sourceID=14","3.9")</f>
        <v>3.9</v>
      </c>
      <c r="G1653" s="4" t="str">
        <f>HYPERLINK("http://141.218.60.56/~jnz1568/getInfo.php?workbook=14_06.xlsx&amp;sheet=U0&amp;row=1653&amp;col=7&amp;number=0.247&amp;sourceID=14","0.247")</f>
        <v>0.247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HYPERLINK("http://141.218.60.56/~jnz1568/getInfo.php?workbook=14_06.xlsx&amp;sheet=U0&amp;row=1654&amp;col=6&amp;number=4&amp;sourceID=14","4")</f>
        <v>4</v>
      </c>
      <c r="G1654" s="4" t="str">
        <f>HYPERLINK("http://141.218.60.56/~jnz1568/getInfo.php?workbook=14_06.xlsx&amp;sheet=U0&amp;row=1654&amp;col=7&amp;number=0.247&amp;sourceID=14","0.247")</f>
        <v>0.247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HYPERLINK("http://141.218.60.56/~jnz1568/getInfo.php?workbook=14_06.xlsx&amp;sheet=U0&amp;row=1655&amp;col=6&amp;number=4.1&amp;sourceID=14","4.1")</f>
        <v>4.1</v>
      </c>
      <c r="G1655" s="4" t="str">
        <f>HYPERLINK("http://141.218.60.56/~jnz1568/getInfo.php?workbook=14_06.xlsx&amp;sheet=U0&amp;row=1655&amp;col=7&amp;number=0.247&amp;sourceID=14","0.247")</f>
        <v>0.247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HYPERLINK("http://141.218.60.56/~jnz1568/getInfo.php?workbook=14_06.xlsx&amp;sheet=U0&amp;row=1656&amp;col=6&amp;number=4.2&amp;sourceID=14","4.2")</f>
        <v>4.2</v>
      </c>
      <c r="G1656" s="4" t="str">
        <f>HYPERLINK("http://141.218.60.56/~jnz1568/getInfo.php?workbook=14_06.xlsx&amp;sheet=U0&amp;row=1656&amp;col=7&amp;number=0.248&amp;sourceID=14","0.248")</f>
        <v>0.248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HYPERLINK("http://141.218.60.56/~jnz1568/getInfo.php?workbook=14_06.xlsx&amp;sheet=U0&amp;row=1657&amp;col=6&amp;number=4.3&amp;sourceID=14","4.3")</f>
        <v>4.3</v>
      </c>
      <c r="G1657" s="4" t="str">
        <f>HYPERLINK("http://141.218.60.56/~jnz1568/getInfo.php?workbook=14_06.xlsx&amp;sheet=U0&amp;row=1657&amp;col=7&amp;number=0.248&amp;sourceID=14","0.248")</f>
        <v>0.248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HYPERLINK("http://141.218.60.56/~jnz1568/getInfo.php?workbook=14_06.xlsx&amp;sheet=U0&amp;row=1658&amp;col=6&amp;number=4.4&amp;sourceID=14","4.4")</f>
        <v>4.4</v>
      </c>
      <c r="G1658" s="4" t="str">
        <f>HYPERLINK("http://141.218.60.56/~jnz1568/getInfo.php?workbook=14_06.xlsx&amp;sheet=U0&amp;row=1658&amp;col=7&amp;number=0.249&amp;sourceID=14","0.249")</f>
        <v>0.249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HYPERLINK("http://141.218.60.56/~jnz1568/getInfo.php?workbook=14_06.xlsx&amp;sheet=U0&amp;row=1659&amp;col=6&amp;number=4.5&amp;sourceID=14","4.5")</f>
        <v>4.5</v>
      </c>
      <c r="G1659" s="4" t="str">
        <f>HYPERLINK("http://141.218.60.56/~jnz1568/getInfo.php?workbook=14_06.xlsx&amp;sheet=U0&amp;row=1659&amp;col=7&amp;number=0.249&amp;sourceID=14","0.249")</f>
        <v>0.249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HYPERLINK("http://141.218.60.56/~jnz1568/getInfo.php?workbook=14_06.xlsx&amp;sheet=U0&amp;row=1660&amp;col=6&amp;number=4.6&amp;sourceID=14","4.6")</f>
        <v>4.6</v>
      </c>
      <c r="G1660" s="4" t="str">
        <f>HYPERLINK("http://141.218.60.56/~jnz1568/getInfo.php?workbook=14_06.xlsx&amp;sheet=U0&amp;row=1660&amp;col=7&amp;number=0.25&amp;sourceID=14","0.25")</f>
        <v>0.25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HYPERLINK("http://141.218.60.56/~jnz1568/getInfo.php?workbook=14_06.xlsx&amp;sheet=U0&amp;row=1661&amp;col=6&amp;number=4.7&amp;sourceID=14","4.7")</f>
        <v>4.7</v>
      </c>
      <c r="G1661" s="4" t="str">
        <f>HYPERLINK("http://141.218.60.56/~jnz1568/getInfo.php?workbook=14_06.xlsx&amp;sheet=U0&amp;row=1661&amp;col=7&amp;number=0.252&amp;sourceID=14","0.252")</f>
        <v>0.252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HYPERLINK("http://141.218.60.56/~jnz1568/getInfo.php?workbook=14_06.xlsx&amp;sheet=U0&amp;row=1662&amp;col=6&amp;number=4.8&amp;sourceID=14","4.8")</f>
        <v>4.8</v>
      </c>
      <c r="G1662" s="4" t="str">
        <f>HYPERLINK("http://141.218.60.56/~jnz1568/getInfo.php?workbook=14_06.xlsx&amp;sheet=U0&amp;row=1662&amp;col=7&amp;number=0.253&amp;sourceID=14","0.253")</f>
        <v>0.253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HYPERLINK("http://141.218.60.56/~jnz1568/getInfo.php?workbook=14_06.xlsx&amp;sheet=U0&amp;row=1663&amp;col=6&amp;number=4.9&amp;sourceID=14","4.9")</f>
        <v>4.9</v>
      </c>
      <c r="G1663" s="4" t="str">
        <f>HYPERLINK("http://141.218.60.56/~jnz1568/getInfo.php?workbook=14_06.xlsx&amp;sheet=U0&amp;row=1663&amp;col=7&amp;number=0.255&amp;sourceID=14","0.255")</f>
        <v>0.255</v>
      </c>
    </row>
    <row r="1664" spans="1:7">
      <c r="A1664" s="3">
        <v>14</v>
      </c>
      <c r="B1664" s="3">
        <v>6</v>
      </c>
      <c r="C1664" s="3">
        <v>2</v>
      </c>
      <c r="D1664" s="3">
        <v>41</v>
      </c>
      <c r="E1664" s="3">
        <v>1</v>
      </c>
      <c r="F1664" s="4" t="str">
        <f>HYPERLINK("http://141.218.60.56/~jnz1568/getInfo.php?workbook=14_06.xlsx&amp;sheet=U0&amp;row=1664&amp;col=6&amp;number=3&amp;sourceID=14","3")</f>
        <v>3</v>
      </c>
      <c r="G1664" s="4" t="str">
        <f>HYPERLINK("http://141.218.60.56/~jnz1568/getInfo.php?workbook=14_06.xlsx&amp;sheet=U0&amp;row=1664&amp;col=7&amp;number=0.0266&amp;sourceID=14","0.0266")</f>
        <v>0.0266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HYPERLINK("http://141.218.60.56/~jnz1568/getInfo.php?workbook=14_06.xlsx&amp;sheet=U0&amp;row=1665&amp;col=6&amp;number=3.1&amp;sourceID=14","3.1")</f>
        <v>3.1</v>
      </c>
      <c r="G1665" s="4" t="str">
        <f>HYPERLINK("http://141.218.60.56/~jnz1568/getInfo.php?workbook=14_06.xlsx&amp;sheet=U0&amp;row=1665&amp;col=7&amp;number=0.0266&amp;sourceID=14","0.0266")</f>
        <v>0.0266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HYPERLINK("http://141.218.60.56/~jnz1568/getInfo.php?workbook=14_06.xlsx&amp;sheet=U0&amp;row=1666&amp;col=6&amp;number=3.2&amp;sourceID=14","3.2")</f>
        <v>3.2</v>
      </c>
      <c r="G1666" s="4" t="str">
        <f>HYPERLINK("http://141.218.60.56/~jnz1568/getInfo.php?workbook=14_06.xlsx&amp;sheet=U0&amp;row=1666&amp;col=7&amp;number=0.0266&amp;sourceID=14","0.0266")</f>
        <v>0.0266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HYPERLINK("http://141.218.60.56/~jnz1568/getInfo.php?workbook=14_06.xlsx&amp;sheet=U0&amp;row=1667&amp;col=6&amp;number=3.3&amp;sourceID=14","3.3")</f>
        <v>3.3</v>
      </c>
      <c r="G1667" s="4" t="str">
        <f>HYPERLINK("http://141.218.60.56/~jnz1568/getInfo.php?workbook=14_06.xlsx&amp;sheet=U0&amp;row=1667&amp;col=7&amp;number=0.0266&amp;sourceID=14","0.0266")</f>
        <v>0.0266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HYPERLINK("http://141.218.60.56/~jnz1568/getInfo.php?workbook=14_06.xlsx&amp;sheet=U0&amp;row=1668&amp;col=6&amp;number=3.4&amp;sourceID=14","3.4")</f>
        <v>3.4</v>
      </c>
      <c r="G1668" s="4" t="str">
        <f>HYPERLINK("http://141.218.60.56/~jnz1568/getInfo.php?workbook=14_06.xlsx&amp;sheet=U0&amp;row=1668&amp;col=7&amp;number=0.0266&amp;sourceID=14","0.0266")</f>
        <v>0.0266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HYPERLINK("http://141.218.60.56/~jnz1568/getInfo.php?workbook=14_06.xlsx&amp;sheet=U0&amp;row=1669&amp;col=6&amp;number=3.5&amp;sourceID=14","3.5")</f>
        <v>3.5</v>
      </c>
      <c r="G1669" s="4" t="str">
        <f>HYPERLINK("http://141.218.60.56/~jnz1568/getInfo.php?workbook=14_06.xlsx&amp;sheet=U0&amp;row=1669&amp;col=7&amp;number=0.0266&amp;sourceID=14","0.0266")</f>
        <v>0.0266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HYPERLINK("http://141.218.60.56/~jnz1568/getInfo.php?workbook=14_06.xlsx&amp;sheet=U0&amp;row=1670&amp;col=6&amp;number=3.6&amp;sourceID=14","3.6")</f>
        <v>3.6</v>
      </c>
      <c r="G1670" s="4" t="str">
        <f>HYPERLINK("http://141.218.60.56/~jnz1568/getInfo.php?workbook=14_06.xlsx&amp;sheet=U0&amp;row=1670&amp;col=7&amp;number=0.0266&amp;sourceID=14","0.0266")</f>
        <v>0.0266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HYPERLINK("http://141.218.60.56/~jnz1568/getInfo.php?workbook=14_06.xlsx&amp;sheet=U0&amp;row=1671&amp;col=6&amp;number=3.7&amp;sourceID=14","3.7")</f>
        <v>3.7</v>
      </c>
      <c r="G1671" s="4" t="str">
        <f>HYPERLINK("http://141.218.60.56/~jnz1568/getInfo.php?workbook=14_06.xlsx&amp;sheet=U0&amp;row=1671&amp;col=7&amp;number=0.0266&amp;sourceID=14","0.0266")</f>
        <v>0.0266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HYPERLINK("http://141.218.60.56/~jnz1568/getInfo.php?workbook=14_06.xlsx&amp;sheet=U0&amp;row=1672&amp;col=6&amp;number=3.8&amp;sourceID=14","3.8")</f>
        <v>3.8</v>
      </c>
      <c r="G1672" s="4" t="str">
        <f>HYPERLINK("http://141.218.60.56/~jnz1568/getInfo.php?workbook=14_06.xlsx&amp;sheet=U0&amp;row=1672&amp;col=7&amp;number=0.0266&amp;sourceID=14","0.0266")</f>
        <v>0.0266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HYPERLINK("http://141.218.60.56/~jnz1568/getInfo.php?workbook=14_06.xlsx&amp;sheet=U0&amp;row=1673&amp;col=6&amp;number=3.9&amp;sourceID=14","3.9")</f>
        <v>3.9</v>
      </c>
      <c r="G1673" s="4" t="str">
        <f>HYPERLINK("http://141.218.60.56/~jnz1568/getInfo.php?workbook=14_06.xlsx&amp;sheet=U0&amp;row=1673&amp;col=7&amp;number=0.0266&amp;sourceID=14","0.0266")</f>
        <v>0.0266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HYPERLINK("http://141.218.60.56/~jnz1568/getInfo.php?workbook=14_06.xlsx&amp;sheet=U0&amp;row=1674&amp;col=6&amp;number=4&amp;sourceID=14","4")</f>
        <v>4</v>
      </c>
      <c r="G1674" s="4" t="str">
        <f>HYPERLINK("http://141.218.60.56/~jnz1568/getInfo.php?workbook=14_06.xlsx&amp;sheet=U0&amp;row=1674&amp;col=7&amp;number=0.0265&amp;sourceID=14","0.0265")</f>
        <v>0.0265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HYPERLINK("http://141.218.60.56/~jnz1568/getInfo.php?workbook=14_06.xlsx&amp;sheet=U0&amp;row=1675&amp;col=6&amp;number=4.1&amp;sourceID=14","4.1")</f>
        <v>4.1</v>
      </c>
      <c r="G1675" s="4" t="str">
        <f>HYPERLINK("http://141.218.60.56/~jnz1568/getInfo.php?workbook=14_06.xlsx&amp;sheet=U0&amp;row=1675&amp;col=7&amp;number=0.0265&amp;sourceID=14","0.0265")</f>
        <v>0.0265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HYPERLINK("http://141.218.60.56/~jnz1568/getInfo.php?workbook=14_06.xlsx&amp;sheet=U0&amp;row=1676&amp;col=6&amp;number=4.2&amp;sourceID=14","4.2")</f>
        <v>4.2</v>
      </c>
      <c r="G1676" s="4" t="str">
        <f>HYPERLINK("http://141.218.60.56/~jnz1568/getInfo.php?workbook=14_06.xlsx&amp;sheet=U0&amp;row=1676&amp;col=7&amp;number=0.0265&amp;sourceID=14","0.0265")</f>
        <v>0.0265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HYPERLINK("http://141.218.60.56/~jnz1568/getInfo.php?workbook=14_06.xlsx&amp;sheet=U0&amp;row=1677&amp;col=6&amp;number=4.3&amp;sourceID=14","4.3")</f>
        <v>4.3</v>
      </c>
      <c r="G1677" s="4" t="str">
        <f>HYPERLINK("http://141.218.60.56/~jnz1568/getInfo.php?workbook=14_06.xlsx&amp;sheet=U0&amp;row=1677&amp;col=7&amp;number=0.0265&amp;sourceID=14","0.0265")</f>
        <v>0.0265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HYPERLINK("http://141.218.60.56/~jnz1568/getInfo.php?workbook=14_06.xlsx&amp;sheet=U0&amp;row=1678&amp;col=6&amp;number=4.4&amp;sourceID=14","4.4")</f>
        <v>4.4</v>
      </c>
      <c r="G1678" s="4" t="str">
        <f>HYPERLINK("http://141.218.60.56/~jnz1568/getInfo.php?workbook=14_06.xlsx&amp;sheet=U0&amp;row=1678&amp;col=7&amp;number=0.0264&amp;sourceID=14","0.0264")</f>
        <v>0.0264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HYPERLINK("http://141.218.60.56/~jnz1568/getInfo.php?workbook=14_06.xlsx&amp;sheet=U0&amp;row=1679&amp;col=6&amp;number=4.5&amp;sourceID=14","4.5")</f>
        <v>4.5</v>
      </c>
      <c r="G1679" s="4" t="str">
        <f>HYPERLINK("http://141.218.60.56/~jnz1568/getInfo.php?workbook=14_06.xlsx&amp;sheet=U0&amp;row=1679&amp;col=7&amp;number=0.0264&amp;sourceID=14","0.0264")</f>
        <v>0.0264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HYPERLINK("http://141.218.60.56/~jnz1568/getInfo.php?workbook=14_06.xlsx&amp;sheet=U0&amp;row=1680&amp;col=6&amp;number=4.6&amp;sourceID=14","4.6")</f>
        <v>4.6</v>
      </c>
      <c r="G1680" s="4" t="str">
        <f>HYPERLINK("http://141.218.60.56/~jnz1568/getInfo.php?workbook=14_06.xlsx&amp;sheet=U0&amp;row=1680&amp;col=7&amp;number=0.0263&amp;sourceID=14","0.0263")</f>
        <v>0.0263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HYPERLINK("http://141.218.60.56/~jnz1568/getInfo.php?workbook=14_06.xlsx&amp;sheet=U0&amp;row=1681&amp;col=6&amp;number=4.7&amp;sourceID=14","4.7")</f>
        <v>4.7</v>
      </c>
      <c r="G1681" s="4" t="str">
        <f>HYPERLINK("http://141.218.60.56/~jnz1568/getInfo.php?workbook=14_06.xlsx&amp;sheet=U0&amp;row=1681&amp;col=7&amp;number=0.0262&amp;sourceID=14","0.0262")</f>
        <v>0.0262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HYPERLINK("http://141.218.60.56/~jnz1568/getInfo.php?workbook=14_06.xlsx&amp;sheet=U0&amp;row=1682&amp;col=6&amp;number=4.8&amp;sourceID=14","4.8")</f>
        <v>4.8</v>
      </c>
      <c r="G1682" s="4" t="str">
        <f>HYPERLINK("http://141.218.60.56/~jnz1568/getInfo.php?workbook=14_06.xlsx&amp;sheet=U0&amp;row=1682&amp;col=7&amp;number=0.0261&amp;sourceID=14","0.0261")</f>
        <v>0.0261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HYPERLINK("http://141.218.60.56/~jnz1568/getInfo.php?workbook=14_06.xlsx&amp;sheet=U0&amp;row=1683&amp;col=6&amp;number=4.9&amp;sourceID=14","4.9")</f>
        <v>4.9</v>
      </c>
      <c r="G1683" s="4" t="str">
        <f>HYPERLINK("http://141.218.60.56/~jnz1568/getInfo.php?workbook=14_06.xlsx&amp;sheet=U0&amp;row=1683&amp;col=7&amp;number=0.0259&amp;sourceID=14","0.0259")</f>
        <v>0.0259</v>
      </c>
    </row>
    <row r="1684" spans="1:7">
      <c r="A1684" s="3">
        <v>14</v>
      </c>
      <c r="B1684" s="3">
        <v>6</v>
      </c>
      <c r="C1684" s="3">
        <v>2</v>
      </c>
      <c r="D1684" s="3">
        <v>42</v>
      </c>
      <c r="E1684" s="3">
        <v>1</v>
      </c>
      <c r="F1684" s="4" t="str">
        <f>HYPERLINK("http://141.218.60.56/~jnz1568/getInfo.php?workbook=14_06.xlsx&amp;sheet=U0&amp;row=1684&amp;col=6&amp;number=3&amp;sourceID=14","3")</f>
        <v>3</v>
      </c>
      <c r="G1684" s="4" t="str">
        <f>HYPERLINK("http://141.218.60.56/~jnz1568/getInfo.php?workbook=14_06.xlsx&amp;sheet=U0&amp;row=1684&amp;col=7&amp;number=0.0145&amp;sourceID=14","0.0145")</f>
        <v>0.0145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HYPERLINK("http://141.218.60.56/~jnz1568/getInfo.php?workbook=14_06.xlsx&amp;sheet=U0&amp;row=1685&amp;col=6&amp;number=3.1&amp;sourceID=14","3.1")</f>
        <v>3.1</v>
      </c>
      <c r="G1685" s="4" t="str">
        <f>HYPERLINK("http://141.218.60.56/~jnz1568/getInfo.php?workbook=14_06.xlsx&amp;sheet=U0&amp;row=1685&amp;col=7&amp;number=0.0145&amp;sourceID=14","0.0145")</f>
        <v>0.0145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HYPERLINK("http://141.218.60.56/~jnz1568/getInfo.php?workbook=14_06.xlsx&amp;sheet=U0&amp;row=1686&amp;col=6&amp;number=3.2&amp;sourceID=14","3.2")</f>
        <v>3.2</v>
      </c>
      <c r="G1686" s="4" t="str">
        <f>HYPERLINK("http://141.218.60.56/~jnz1568/getInfo.php?workbook=14_06.xlsx&amp;sheet=U0&amp;row=1686&amp;col=7&amp;number=0.0145&amp;sourceID=14","0.0145")</f>
        <v>0.0145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HYPERLINK("http://141.218.60.56/~jnz1568/getInfo.php?workbook=14_06.xlsx&amp;sheet=U0&amp;row=1687&amp;col=6&amp;number=3.3&amp;sourceID=14","3.3")</f>
        <v>3.3</v>
      </c>
      <c r="G1687" s="4" t="str">
        <f>HYPERLINK("http://141.218.60.56/~jnz1568/getInfo.php?workbook=14_06.xlsx&amp;sheet=U0&amp;row=1687&amp;col=7&amp;number=0.0145&amp;sourceID=14","0.0145")</f>
        <v>0.0145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HYPERLINK("http://141.218.60.56/~jnz1568/getInfo.php?workbook=14_06.xlsx&amp;sheet=U0&amp;row=1688&amp;col=6&amp;number=3.4&amp;sourceID=14","3.4")</f>
        <v>3.4</v>
      </c>
      <c r="G1688" s="4" t="str">
        <f>HYPERLINK("http://141.218.60.56/~jnz1568/getInfo.php?workbook=14_06.xlsx&amp;sheet=U0&amp;row=1688&amp;col=7&amp;number=0.0145&amp;sourceID=14","0.0145")</f>
        <v>0.0145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HYPERLINK("http://141.218.60.56/~jnz1568/getInfo.php?workbook=14_06.xlsx&amp;sheet=U0&amp;row=1689&amp;col=6&amp;number=3.5&amp;sourceID=14","3.5")</f>
        <v>3.5</v>
      </c>
      <c r="G1689" s="4" t="str">
        <f>HYPERLINK("http://141.218.60.56/~jnz1568/getInfo.php?workbook=14_06.xlsx&amp;sheet=U0&amp;row=1689&amp;col=7&amp;number=0.0145&amp;sourceID=14","0.0145")</f>
        <v>0.0145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HYPERLINK("http://141.218.60.56/~jnz1568/getInfo.php?workbook=14_06.xlsx&amp;sheet=U0&amp;row=1690&amp;col=6&amp;number=3.6&amp;sourceID=14","3.6")</f>
        <v>3.6</v>
      </c>
      <c r="G1690" s="4" t="str">
        <f>HYPERLINK("http://141.218.60.56/~jnz1568/getInfo.php?workbook=14_06.xlsx&amp;sheet=U0&amp;row=1690&amp;col=7&amp;number=0.0145&amp;sourceID=14","0.0145")</f>
        <v>0.0145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HYPERLINK("http://141.218.60.56/~jnz1568/getInfo.php?workbook=14_06.xlsx&amp;sheet=U0&amp;row=1691&amp;col=6&amp;number=3.7&amp;sourceID=14","3.7")</f>
        <v>3.7</v>
      </c>
      <c r="G1691" s="4" t="str">
        <f>HYPERLINK("http://141.218.60.56/~jnz1568/getInfo.php?workbook=14_06.xlsx&amp;sheet=U0&amp;row=1691&amp;col=7&amp;number=0.0145&amp;sourceID=14","0.0145")</f>
        <v>0.0145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HYPERLINK("http://141.218.60.56/~jnz1568/getInfo.php?workbook=14_06.xlsx&amp;sheet=U0&amp;row=1692&amp;col=6&amp;number=3.8&amp;sourceID=14","3.8")</f>
        <v>3.8</v>
      </c>
      <c r="G1692" s="4" t="str">
        <f>HYPERLINK("http://141.218.60.56/~jnz1568/getInfo.php?workbook=14_06.xlsx&amp;sheet=U0&amp;row=1692&amp;col=7&amp;number=0.0145&amp;sourceID=14","0.0145")</f>
        <v>0.0145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HYPERLINK("http://141.218.60.56/~jnz1568/getInfo.php?workbook=14_06.xlsx&amp;sheet=U0&amp;row=1693&amp;col=6&amp;number=3.9&amp;sourceID=14","3.9")</f>
        <v>3.9</v>
      </c>
      <c r="G1693" s="4" t="str">
        <f>HYPERLINK("http://141.218.60.56/~jnz1568/getInfo.php?workbook=14_06.xlsx&amp;sheet=U0&amp;row=1693&amp;col=7&amp;number=0.0145&amp;sourceID=14","0.0145")</f>
        <v>0.0145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HYPERLINK("http://141.218.60.56/~jnz1568/getInfo.php?workbook=14_06.xlsx&amp;sheet=U0&amp;row=1694&amp;col=6&amp;number=4&amp;sourceID=14","4")</f>
        <v>4</v>
      </c>
      <c r="G1694" s="4" t="str">
        <f>HYPERLINK("http://141.218.60.56/~jnz1568/getInfo.php?workbook=14_06.xlsx&amp;sheet=U0&amp;row=1694&amp;col=7&amp;number=0.0145&amp;sourceID=14","0.0145")</f>
        <v>0.0145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HYPERLINK("http://141.218.60.56/~jnz1568/getInfo.php?workbook=14_06.xlsx&amp;sheet=U0&amp;row=1695&amp;col=6&amp;number=4.1&amp;sourceID=14","4.1")</f>
        <v>4.1</v>
      </c>
      <c r="G1695" s="4" t="str">
        <f>HYPERLINK("http://141.218.60.56/~jnz1568/getInfo.php?workbook=14_06.xlsx&amp;sheet=U0&amp;row=1695&amp;col=7&amp;number=0.0145&amp;sourceID=14","0.0145")</f>
        <v>0.0145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HYPERLINK("http://141.218.60.56/~jnz1568/getInfo.php?workbook=14_06.xlsx&amp;sheet=U0&amp;row=1696&amp;col=6&amp;number=4.2&amp;sourceID=14","4.2")</f>
        <v>4.2</v>
      </c>
      <c r="G1696" s="4" t="str">
        <f>HYPERLINK("http://141.218.60.56/~jnz1568/getInfo.php?workbook=14_06.xlsx&amp;sheet=U0&amp;row=1696&amp;col=7&amp;number=0.0144&amp;sourceID=14","0.0144")</f>
        <v>0.0144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HYPERLINK("http://141.218.60.56/~jnz1568/getInfo.php?workbook=14_06.xlsx&amp;sheet=U0&amp;row=1697&amp;col=6&amp;number=4.3&amp;sourceID=14","4.3")</f>
        <v>4.3</v>
      </c>
      <c r="G1697" s="4" t="str">
        <f>HYPERLINK("http://141.218.60.56/~jnz1568/getInfo.php?workbook=14_06.xlsx&amp;sheet=U0&amp;row=1697&amp;col=7&amp;number=0.0144&amp;sourceID=14","0.0144")</f>
        <v>0.0144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HYPERLINK("http://141.218.60.56/~jnz1568/getInfo.php?workbook=14_06.xlsx&amp;sheet=U0&amp;row=1698&amp;col=6&amp;number=4.4&amp;sourceID=14","4.4")</f>
        <v>4.4</v>
      </c>
      <c r="G1698" s="4" t="str">
        <f>HYPERLINK("http://141.218.60.56/~jnz1568/getInfo.php?workbook=14_06.xlsx&amp;sheet=U0&amp;row=1698&amp;col=7&amp;number=0.0144&amp;sourceID=14","0.0144")</f>
        <v>0.0144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HYPERLINK("http://141.218.60.56/~jnz1568/getInfo.php?workbook=14_06.xlsx&amp;sheet=U0&amp;row=1699&amp;col=6&amp;number=4.5&amp;sourceID=14","4.5")</f>
        <v>4.5</v>
      </c>
      <c r="G1699" s="4" t="str">
        <f>HYPERLINK("http://141.218.60.56/~jnz1568/getInfo.php?workbook=14_06.xlsx&amp;sheet=U0&amp;row=1699&amp;col=7&amp;number=0.0143&amp;sourceID=14","0.0143")</f>
        <v>0.0143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HYPERLINK("http://141.218.60.56/~jnz1568/getInfo.php?workbook=14_06.xlsx&amp;sheet=U0&amp;row=1700&amp;col=6&amp;number=4.6&amp;sourceID=14","4.6")</f>
        <v>4.6</v>
      </c>
      <c r="G1700" s="4" t="str">
        <f>HYPERLINK("http://141.218.60.56/~jnz1568/getInfo.php?workbook=14_06.xlsx&amp;sheet=U0&amp;row=1700&amp;col=7&amp;number=0.0143&amp;sourceID=14","0.0143")</f>
        <v>0.0143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HYPERLINK("http://141.218.60.56/~jnz1568/getInfo.php?workbook=14_06.xlsx&amp;sheet=U0&amp;row=1701&amp;col=6&amp;number=4.7&amp;sourceID=14","4.7")</f>
        <v>4.7</v>
      </c>
      <c r="G1701" s="4" t="str">
        <f>HYPERLINK("http://141.218.60.56/~jnz1568/getInfo.php?workbook=14_06.xlsx&amp;sheet=U0&amp;row=1701&amp;col=7&amp;number=0.0142&amp;sourceID=14","0.0142")</f>
        <v>0.0142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HYPERLINK("http://141.218.60.56/~jnz1568/getInfo.php?workbook=14_06.xlsx&amp;sheet=U0&amp;row=1702&amp;col=6&amp;number=4.8&amp;sourceID=14","4.8")</f>
        <v>4.8</v>
      </c>
      <c r="G1702" s="4" t="str">
        <f>HYPERLINK("http://141.218.60.56/~jnz1568/getInfo.php?workbook=14_06.xlsx&amp;sheet=U0&amp;row=1702&amp;col=7&amp;number=0.0142&amp;sourceID=14","0.0142")</f>
        <v>0.0142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HYPERLINK("http://141.218.60.56/~jnz1568/getInfo.php?workbook=14_06.xlsx&amp;sheet=U0&amp;row=1703&amp;col=6&amp;number=4.9&amp;sourceID=14","4.9")</f>
        <v>4.9</v>
      </c>
      <c r="G1703" s="4" t="str">
        <f>HYPERLINK("http://141.218.60.56/~jnz1568/getInfo.php?workbook=14_06.xlsx&amp;sheet=U0&amp;row=1703&amp;col=7&amp;number=0.0141&amp;sourceID=14","0.0141")</f>
        <v>0.0141</v>
      </c>
    </row>
    <row r="1704" spans="1:7">
      <c r="A1704" s="3">
        <v>14</v>
      </c>
      <c r="B1704" s="3">
        <v>6</v>
      </c>
      <c r="C1704" s="3">
        <v>2</v>
      </c>
      <c r="D1704" s="3">
        <v>43</v>
      </c>
      <c r="E1704" s="3">
        <v>1</v>
      </c>
      <c r="F1704" s="4" t="str">
        <f>HYPERLINK("http://141.218.60.56/~jnz1568/getInfo.php?workbook=14_06.xlsx&amp;sheet=U0&amp;row=1704&amp;col=6&amp;number=3&amp;sourceID=14","3")</f>
        <v>3</v>
      </c>
      <c r="G1704" s="4" t="str">
        <f>HYPERLINK("http://141.218.60.56/~jnz1568/getInfo.php?workbook=14_06.xlsx&amp;sheet=U0&amp;row=1704&amp;col=7&amp;number=0.0533&amp;sourceID=14","0.0533")</f>
        <v>0.0533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HYPERLINK("http://141.218.60.56/~jnz1568/getInfo.php?workbook=14_06.xlsx&amp;sheet=U0&amp;row=1705&amp;col=6&amp;number=3.1&amp;sourceID=14","3.1")</f>
        <v>3.1</v>
      </c>
      <c r="G1705" s="4" t="str">
        <f>HYPERLINK("http://141.218.60.56/~jnz1568/getInfo.php?workbook=14_06.xlsx&amp;sheet=U0&amp;row=1705&amp;col=7&amp;number=0.0533&amp;sourceID=14","0.0533")</f>
        <v>0.0533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HYPERLINK("http://141.218.60.56/~jnz1568/getInfo.php?workbook=14_06.xlsx&amp;sheet=U0&amp;row=1706&amp;col=6&amp;number=3.2&amp;sourceID=14","3.2")</f>
        <v>3.2</v>
      </c>
      <c r="G1706" s="4" t="str">
        <f>HYPERLINK("http://141.218.60.56/~jnz1568/getInfo.php?workbook=14_06.xlsx&amp;sheet=U0&amp;row=1706&amp;col=7&amp;number=0.0533&amp;sourceID=14","0.0533")</f>
        <v>0.0533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HYPERLINK("http://141.218.60.56/~jnz1568/getInfo.php?workbook=14_06.xlsx&amp;sheet=U0&amp;row=1707&amp;col=6&amp;number=3.3&amp;sourceID=14","3.3")</f>
        <v>3.3</v>
      </c>
      <c r="G1707" s="4" t="str">
        <f>HYPERLINK("http://141.218.60.56/~jnz1568/getInfo.php?workbook=14_06.xlsx&amp;sheet=U0&amp;row=1707&amp;col=7&amp;number=0.0533&amp;sourceID=14","0.0533")</f>
        <v>0.0533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HYPERLINK("http://141.218.60.56/~jnz1568/getInfo.php?workbook=14_06.xlsx&amp;sheet=U0&amp;row=1708&amp;col=6&amp;number=3.4&amp;sourceID=14","3.4")</f>
        <v>3.4</v>
      </c>
      <c r="G1708" s="4" t="str">
        <f>HYPERLINK("http://141.218.60.56/~jnz1568/getInfo.php?workbook=14_06.xlsx&amp;sheet=U0&amp;row=1708&amp;col=7&amp;number=0.0533&amp;sourceID=14","0.0533")</f>
        <v>0.0533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HYPERLINK("http://141.218.60.56/~jnz1568/getInfo.php?workbook=14_06.xlsx&amp;sheet=U0&amp;row=1709&amp;col=6&amp;number=3.5&amp;sourceID=14","3.5")</f>
        <v>3.5</v>
      </c>
      <c r="G1709" s="4" t="str">
        <f>HYPERLINK("http://141.218.60.56/~jnz1568/getInfo.php?workbook=14_06.xlsx&amp;sheet=U0&amp;row=1709&amp;col=7&amp;number=0.0533&amp;sourceID=14","0.0533")</f>
        <v>0.0533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HYPERLINK("http://141.218.60.56/~jnz1568/getInfo.php?workbook=14_06.xlsx&amp;sheet=U0&amp;row=1710&amp;col=6&amp;number=3.6&amp;sourceID=14","3.6")</f>
        <v>3.6</v>
      </c>
      <c r="G1710" s="4" t="str">
        <f>HYPERLINK("http://141.218.60.56/~jnz1568/getInfo.php?workbook=14_06.xlsx&amp;sheet=U0&amp;row=1710&amp;col=7&amp;number=0.0533&amp;sourceID=14","0.0533")</f>
        <v>0.0533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HYPERLINK("http://141.218.60.56/~jnz1568/getInfo.php?workbook=14_06.xlsx&amp;sheet=U0&amp;row=1711&amp;col=6&amp;number=3.7&amp;sourceID=14","3.7")</f>
        <v>3.7</v>
      </c>
      <c r="G1711" s="4" t="str">
        <f>HYPERLINK("http://141.218.60.56/~jnz1568/getInfo.php?workbook=14_06.xlsx&amp;sheet=U0&amp;row=1711&amp;col=7&amp;number=0.0534&amp;sourceID=14","0.0534")</f>
        <v>0.0534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HYPERLINK("http://141.218.60.56/~jnz1568/getInfo.php?workbook=14_06.xlsx&amp;sheet=U0&amp;row=1712&amp;col=6&amp;number=3.8&amp;sourceID=14","3.8")</f>
        <v>3.8</v>
      </c>
      <c r="G1712" s="4" t="str">
        <f>HYPERLINK("http://141.218.60.56/~jnz1568/getInfo.php?workbook=14_06.xlsx&amp;sheet=U0&amp;row=1712&amp;col=7&amp;number=0.0534&amp;sourceID=14","0.0534")</f>
        <v>0.0534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HYPERLINK("http://141.218.60.56/~jnz1568/getInfo.php?workbook=14_06.xlsx&amp;sheet=U0&amp;row=1713&amp;col=6&amp;number=3.9&amp;sourceID=14","3.9")</f>
        <v>3.9</v>
      </c>
      <c r="G1713" s="4" t="str">
        <f>HYPERLINK("http://141.218.60.56/~jnz1568/getInfo.php?workbook=14_06.xlsx&amp;sheet=U0&amp;row=1713&amp;col=7&amp;number=0.0534&amp;sourceID=14","0.0534")</f>
        <v>0.0534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HYPERLINK("http://141.218.60.56/~jnz1568/getInfo.php?workbook=14_06.xlsx&amp;sheet=U0&amp;row=1714&amp;col=6&amp;number=4&amp;sourceID=14","4")</f>
        <v>4</v>
      </c>
      <c r="G1714" s="4" t="str">
        <f>HYPERLINK("http://141.218.60.56/~jnz1568/getInfo.php?workbook=14_06.xlsx&amp;sheet=U0&amp;row=1714&amp;col=7&amp;number=0.0535&amp;sourceID=14","0.0535")</f>
        <v>0.0535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HYPERLINK("http://141.218.60.56/~jnz1568/getInfo.php?workbook=14_06.xlsx&amp;sheet=U0&amp;row=1715&amp;col=6&amp;number=4.1&amp;sourceID=14","4.1")</f>
        <v>4.1</v>
      </c>
      <c r="G1715" s="4" t="str">
        <f>HYPERLINK("http://141.218.60.56/~jnz1568/getInfo.php?workbook=14_06.xlsx&amp;sheet=U0&amp;row=1715&amp;col=7&amp;number=0.0535&amp;sourceID=14","0.0535")</f>
        <v>0.0535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HYPERLINK("http://141.218.60.56/~jnz1568/getInfo.php?workbook=14_06.xlsx&amp;sheet=U0&amp;row=1716&amp;col=6&amp;number=4.2&amp;sourceID=14","4.2")</f>
        <v>4.2</v>
      </c>
      <c r="G1716" s="4" t="str">
        <f>HYPERLINK("http://141.218.60.56/~jnz1568/getInfo.php?workbook=14_06.xlsx&amp;sheet=U0&amp;row=1716&amp;col=7&amp;number=0.0536&amp;sourceID=14","0.0536")</f>
        <v>0.0536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HYPERLINK("http://141.218.60.56/~jnz1568/getInfo.php?workbook=14_06.xlsx&amp;sheet=U0&amp;row=1717&amp;col=6&amp;number=4.3&amp;sourceID=14","4.3")</f>
        <v>4.3</v>
      </c>
      <c r="G1717" s="4" t="str">
        <f>HYPERLINK("http://141.218.60.56/~jnz1568/getInfo.php?workbook=14_06.xlsx&amp;sheet=U0&amp;row=1717&amp;col=7&amp;number=0.0537&amp;sourceID=14","0.0537")</f>
        <v>0.0537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HYPERLINK("http://141.218.60.56/~jnz1568/getInfo.php?workbook=14_06.xlsx&amp;sheet=U0&amp;row=1718&amp;col=6&amp;number=4.4&amp;sourceID=14","4.4")</f>
        <v>4.4</v>
      </c>
      <c r="G1718" s="4" t="str">
        <f>HYPERLINK("http://141.218.60.56/~jnz1568/getInfo.php?workbook=14_06.xlsx&amp;sheet=U0&amp;row=1718&amp;col=7&amp;number=0.0538&amp;sourceID=14","0.0538")</f>
        <v>0.0538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HYPERLINK("http://141.218.60.56/~jnz1568/getInfo.php?workbook=14_06.xlsx&amp;sheet=U0&amp;row=1719&amp;col=6&amp;number=4.5&amp;sourceID=14","4.5")</f>
        <v>4.5</v>
      </c>
      <c r="G1719" s="4" t="str">
        <f>HYPERLINK("http://141.218.60.56/~jnz1568/getInfo.php?workbook=14_06.xlsx&amp;sheet=U0&amp;row=1719&amp;col=7&amp;number=0.0539&amp;sourceID=14","0.0539")</f>
        <v>0.0539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HYPERLINK("http://141.218.60.56/~jnz1568/getInfo.php?workbook=14_06.xlsx&amp;sheet=U0&amp;row=1720&amp;col=6&amp;number=4.6&amp;sourceID=14","4.6")</f>
        <v>4.6</v>
      </c>
      <c r="G1720" s="4" t="str">
        <f>HYPERLINK("http://141.218.60.56/~jnz1568/getInfo.php?workbook=14_06.xlsx&amp;sheet=U0&amp;row=1720&amp;col=7&amp;number=0.0541&amp;sourceID=14","0.0541")</f>
        <v>0.0541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HYPERLINK("http://141.218.60.56/~jnz1568/getInfo.php?workbook=14_06.xlsx&amp;sheet=U0&amp;row=1721&amp;col=6&amp;number=4.7&amp;sourceID=14","4.7")</f>
        <v>4.7</v>
      </c>
      <c r="G1721" s="4" t="str">
        <f>HYPERLINK("http://141.218.60.56/~jnz1568/getInfo.php?workbook=14_06.xlsx&amp;sheet=U0&amp;row=1721&amp;col=7&amp;number=0.0543&amp;sourceID=14","0.0543")</f>
        <v>0.0543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HYPERLINK("http://141.218.60.56/~jnz1568/getInfo.php?workbook=14_06.xlsx&amp;sheet=U0&amp;row=1722&amp;col=6&amp;number=4.8&amp;sourceID=14","4.8")</f>
        <v>4.8</v>
      </c>
      <c r="G1722" s="4" t="str">
        <f>HYPERLINK("http://141.218.60.56/~jnz1568/getInfo.php?workbook=14_06.xlsx&amp;sheet=U0&amp;row=1722&amp;col=7&amp;number=0.0546&amp;sourceID=14","0.0546")</f>
        <v>0.0546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HYPERLINK("http://141.218.60.56/~jnz1568/getInfo.php?workbook=14_06.xlsx&amp;sheet=U0&amp;row=1723&amp;col=6&amp;number=4.9&amp;sourceID=14","4.9")</f>
        <v>4.9</v>
      </c>
      <c r="G1723" s="4" t="str">
        <f>HYPERLINK("http://141.218.60.56/~jnz1568/getInfo.php?workbook=14_06.xlsx&amp;sheet=U0&amp;row=1723&amp;col=7&amp;number=0.055&amp;sourceID=14","0.055")</f>
        <v>0.055</v>
      </c>
    </row>
    <row r="1724" spans="1:7">
      <c r="A1724" s="3">
        <v>14</v>
      </c>
      <c r="B1724" s="3">
        <v>6</v>
      </c>
      <c r="C1724" s="3">
        <v>2</v>
      </c>
      <c r="D1724" s="3">
        <v>44</v>
      </c>
      <c r="E1724" s="3">
        <v>1</v>
      </c>
      <c r="F1724" s="4" t="str">
        <f>HYPERLINK("http://141.218.60.56/~jnz1568/getInfo.php?workbook=14_06.xlsx&amp;sheet=U0&amp;row=1724&amp;col=6&amp;number=3&amp;sourceID=14","3")</f>
        <v>3</v>
      </c>
      <c r="G1724" s="4" t="str">
        <f>HYPERLINK("http://141.218.60.56/~jnz1568/getInfo.php?workbook=14_06.xlsx&amp;sheet=U0&amp;row=1724&amp;col=7&amp;number=0.032&amp;sourceID=14","0.032")</f>
        <v>0.032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HYPERLINK("http://141.218.60.56/~jnz1568/getInfo.php?workbook=14_06.xlsx&amp;sheet=U0&amp;row=1725&amp;col=6&amp;number=3.1&amp;sourceID=14","3.1")</f>
        <v>3.1</v>
      </c>
      <c r="G1725" s="4" t="str">
        <f>HYPERLINK("http://141.218.60.56/~jnz1568/getInfo.php?workbook=14_06.xlsx&amp;sheet=U0&amp;row=1725&amp;col=7&amp;number=0.032&amp;sourceID=14","0.032")</f>
        <v>0.032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HYPERLINK("http://141.218.60.56/~jnz1568/getInfo.php?workbook=14_06.xlsx&amp;sheet=U0&amp;row=1726&amp;col=6&amp;number=3.2&amp;sourceID=14","3.2")</f>
        <v>3.2</v>
      </c>
      <c r="G1726" s="4" t="str">
        <f>HYPERLINK("http://141.218.60.56/~jnz1568/getInfo.php?workbook=14_06.xlsx&amp;sheet=U0&amp;row=1726&amp;col=7&amp;number=0.032&amp;sourceID=14","0.032")</f>
        <v>0.032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HYPERLINK("http://141.218.60.56/~jnz1568/getInfo.php?workbook=14_06.xlsx&amp;sheet=U0&amp;row=1727&amp;col=6&amp;number=3.3&amp;sourceID=14","3.3")</f>
        <v>3.3</v>
      </c>
      <c r="G1727" s="4" t="str">
        <f>HYPERLINK("http://141.218.60.56/~jnz1568/getInfo.php?workbook=14_06.xlsx&amp;sheet=U0&amp;row=1727&amp;col=7&amp;number=0.032&amp;sourceID=14","0.032")</f>
        <v>0.032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HYPERLINK("http://141.218.60.56/~jnz1568/getInfo.php?workbook=14_06.xlsx&amp;sheet=U0&amp;row=1728&amp;col=6&amp;number=3.4&amp;sourceID=14","3.4")</f>
        <v>3.4</v>
      </c>
      <c r="G1728" s="4" t="str">
        <f>HYPERLINK("http://141.218.60.56/~jnz1568/getInfo.php?workbook=14_06.xlsx&amp;sheet=U0&amp;row=1728&amp;col=7&amp;number=0.032&amp;sourceID=14","0.032")</f>
        <v>0.032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HYPERLINK("http://141.218.60.56/~jnz1568/getInfo.php?workbook=14_06.xlsx&amp;sheet=U0&amp;row=1729&amp;col=6&amp;number=3.5&amp;sourceID=14","3.5")</f>
        <v>3.5</v>
      </c>
      <c r="G1729" s="4" t="str">
        <f>HYPERLINK("http://141.218.60.56/~jnz1568/getInfo.php?workbook=14_06.xlsx&amp;sheet=U0&amp;row=1729&amp;col=7&amp;number=0.032&amp;sourceID=14","0.032")</f>
        <v>0.032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HYPERLINK("http://141.218.60.56/~jnz1568/getInfo.php?workbook=14_06.xlsx&amp;sheet=U0&amp;row=1730&amp;col=6&amp;number=3.6&amp;sourceID=14","3.6")</f>
        <v>3.6</v>
      </c>
      <c r="G1730" s="4" t="str">
        <f>HYPERLINK("http://141.218.60.56/~jnz1568/getInfo.php?workbook=14_06.xlsx&amp;sheet=U0&amp;row=1730&amp;col=7&amp;number=0.032&amp;sourceID=14","0.032")</f>
        <v>0.032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HYPERLINK("http://141.218.60.56/~jnz1568/getInfo.php?workbook=14_06.xlsx&amp;sheet=U0&amp;row=1731&amp;col=6&amp;number=3.7&amp;sourceID=14","3.7")</f>
        <v>3.7</v>
      </c>
      <c r="G1731" s="4" t="str">
        <f>HYPERLINK("http://141.218.60.56/~jnz1568/getInfo.php?workbook=14_06.xlsx&amp;sheet=U0&amp;row=1731&amp;col=7&amp;number=0.0321&amp;sourceID=14","0.0321")</f>
        <v>0.0321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HYPERLINK("http://141.218.60.56/~jnz1568/getInfo.php?workbook=14_06.xlsx&amp;sheet=U0&amp;row=1732&amp;col=6&amp;number=3.8&amp;sourceID=14","3.8")</f>
        <v>3.8</v>
      </c>
      <c r="G1732" s="4" t="str">
        <f>HYPERLINK("http://141.218.60.56/~jnz1568/getInfo.php?workbook=14_06.xlsx&amp;sheet=U0&amp;row=1732&amp;col=7&amp;number=0.0321&amp;sourceID=14","0.0321")</f>
        <v>0.0321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HYPERLINK("http://141.218.60.56/~jnz1568/getInfo.php?workbook=14_06.xlsx&amp;sheet=U0&amp;row=1733&amp;col=6&amp;number=3.9&amp;sourceID=14","3.9")</f>
        <v>3.9</v>
      </c>
      <c r="G1733" s="4" t="str">
        <f>HYPERLINK("http://141.218.60.56/~jnz1568/getInfo.php?workbook=14_06.xlsx&amp;sheet=U0&amp;row=1733&amp;col=7&amp;number=0.0321&amp;sourceID=14","0.0321")</f>
        <v>0.0321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HYPERLINK("http://141.218.60.56/~jnz1568/getInfo.php?workbook=14_06.xlsx&amp;sheet=U0&amp;row=1734&amp;col=6&amp;number=4&amp;sourceID=14","4")</f>
        <v>4</v>
      </c>
      <c r="G1734" s="4" t="str">
        <f>HYPERLINK("http://141.218.60.56/~jnz1568/getInfo.php?workbook=14_06.xlsx&amp;sheet=U0&amp;row=1734&amp;col=7&amp;number=0.0321&amp;sourceID=14","0.0321")</f>
        <v>0.0321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HYPERLINK("http://141.218.60.56/~jnz1568/getInfo.php?workbook=14_06.xlsx&amp;sheet=U0&amp;row=1735&amp;col=6&amp;number=4.1&amp;sourceID=14","4.1")</f>
        <v>4.1</v>
      </c>
      <c r="G1735" s="4" t="str">
        <f>HYPERLINK("http://141.218.60.56/~jnz1568/getInfo.php?workbook=14_06.xlsx&amp;sheet=U0&amp;row=1735&amp;col=7&amp;number=0.0322&amp;sourceID=14","0.0322")</f>
        <v>0.0322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HYPERLINK("http://141.218.60.56/~jnz1568/getInfo.php?workbook=14_06.xlsx&amp;sheet=U0&amp;row=1736&amp;col=6&amp;number=4.2&amp;sourceID=14","4.2")</f>
        <v>4.2</v>
      </c>
      <c r="G1736" s="4" t="str">
        <f>HYPERLINK("http://141.218.60.56/~jnz1568/getInfo.php?workbook=14_06.xlsx&amp;sheet=U0&amp;row=1736&amp;col=7&amp;number=0.0322&amp;sourceID=14","0.0322")</f>
        <v>0.0322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HYPERLINK("http://141.218.60.56/~jnz1568/getInfo.php?workbook=14_06.xlsx&amp;sheet=U0&amp;row=1737&amp;col=6&amp;number=4.3&amp;sourceID=14","4.3")</f>
        <v>4.3</v>
      </c>
      <c r="G1737" s="4" t="str">
        <f>HYPERLINK("http://141.218.60.56/~jnz1568/getInfo.php?workbook=14_06.xlsx&amp;sheet=U0&amp;row=1737&amp;col=7&amp;number=0.0323&amp;sourceID=14","0.0323")</f>
        <v>0.0323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HYPERLINK("http://141.218.60.56/~jnz1568/getInfo.php?workbook=14_06.xlsx&amp;sheet=U0&amp;row=1738&amp;col=6&amp;number=4.4&amp;sourceID=14","4.4")</f>
        <v>4.4</v>
      </c>
      <c r="G1738" s="4" t="str">
        <f>HYPERLINK("http://141.218.60.56/~jnz1568/getInfo.php?workbook=14_06.xlsx&amp;sheet=U0&amp;row=1738&amp;col=7&amp;number=0.0324&amp;sourceID=14","0.0324")</f>
        <v>0.0324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HYPERLINK("http://141.218.60.56/~jnz1568/getInfo.php?workbook=14_06.xlsx&amp;sheet=U0&amp;row=1739&amp;col=6&amp;number=4.5&amp;sourceID=14","4.5")</f>
        <v>4.5</v>
      </c>
      <c r="G1739" s="4" t="str">
        <f>HYPERLINK("http://141.218.60.56/~jnz1568/getInfo.php?workbook=14_06.xlsx&amp;sheet=U0&amp;row=1739&amp;col=7&amp;number=0.0325&amp;sourceID=14","0.0325")</f>
        <v>0.0325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HYPERLINK("http://141.218.60.56/~jnz1568/getInfo.php?workbook=14_06.xlsx&amp;sheet=U0&amp;row=1740&amp;col=6&amp;number=4.6&amp;sourceID=14","4.6")</f>
        <v>4.6</v>
      </c>
      <c r="G1740" s="4" t="str">
        <f>HYPERLINK("http://141.218.60.56/~jnz1568/getInfo.php?workbook=14_06.xlsx&amp;sheet=U0&amp;row=1740&amp;col=7&amp;number=0.0326&amp;sourceID=14","0.0326")</f>
        <v>0.0326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HYPERLINK("http://141.218.60.56/~jnz1568/getInfo.php?workbook=14_06.xlsx&amp;sheet=U0&amp;row=1741&amp;col=6&amp;number=4.7&amp;sourceID=14","4.7")</f>
        <v>4.7</v>
      </c>
      <c r="G1741" s="4" t="str">
        <f>HYPERLINK("http://141.218.60.56/~jnz1568/getInfo.php?workbook=14_06.xlsx&amp;sheet=U0&amp;row=1741&amp;col=7&amp;number=0.0327&amp;sourceID=14","0.0327")</f>
        <v>0.0327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HYPERLINK("http://141.218.60.56/~jnz1568/getInfo.php?workbook=14_06.xlsx&amp;sheet=U0&amp;row=1742&amp;col=6&amp;number=4.8&amp;sourceID=14","4.8")</f>
        <v>4.8</v>
      </c>
      <c r="G1742" s="4" t="str">
        <f>HYPERLINK("http://141.218.60.56/~jnz1568/getInfo.php?workbook=14_06.xlsx&amp;sheet=U0&amp;row=1742&amp;col=7&amp;number=0.0329&amp;sourceID=14","0.0329")</f>
        <v>0.0329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HYPERLINK("http://141.218.60.56/~jnz1568/getInfo.php?workbook=14_06.xlsx&amp;sheet=U0&amp;row=1743&amp;col=6&amp;number=4.9&amp;sourceID=14","4.9")</f>
        <v>4.9</v>
      </c>
      <c r="G1743" s="4" t="str">
        <f>HYPERLINK("http://141.218.60.56/~jnz1568/getInfo.php?workbook=14_06.xlsx&amp;sheet=U0&amp;row=1743&amp;col=7&amp;number=0.0332&amp;sourceID=14","0.0332")</f>
        <v>0.0332</v>
      </c>
    </row>
    <row r="1744" spans="1:7">
      <c r="A1744" s="3">
        <v>14</v>
      </c>
      <c r="B1744" s="3">
        <v>6</v>
      </c>
      <c r="C1744" s="3">
        <v>2</v>
      </c>
      <c r="D1744" s="3">
        <v>45</v>
      </c>
      <c r="E1744" s="3">
        <v>1</v>
      </c>
      <c r="F1744" s="4" t="str">
        <f>HYPERLINK("http://141.218.60.56/~jnz1568/getInfo.php?workbook=14_06.xlsx&amp;sheet=U0&amp;row=1744&amp;col=6&amp;number=3&amp;sourceID=14","3")</f>
        <v>3</v>
      </c>
      <c r="G1744" s="4" t="str">
        <f>HYPERLINK("http://141.218.60.56/~jnz1568/getInfo.php?workbook=14_06.xlsx&amp;sheet=U0&amp;row=1744&amp;col=7&amp;number=0.0104&amp;sourceID=14","0.0104")</f>
        <v>0.0104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HYPERLINK("http://141.218.60.56/~jnz1568/getInfo.php?workbook=14_06.xlsx&amp;sheet=U0&amp;row=1745&amp;col=6&amp;number=3.1&amp;sourceID=14","3.1")</f>
        <v>3.1</v>
      </c>
      <c r="G1745" s="4" t="str">
        <f>HYPERLINK("http://141.218.60.56/~jnz1568/getInfo.php?workbook=14_06.xlsx&amp;sheet=U0&amp;row=1745&amp;col=7&amp;number=0.0104&amp;sourceID=14","0.0104")</f>
        <v>0.0104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HYPERLINK("http://141.218.60.56/~jnz1568/getInfo.php?workbook=14_06.xlsx&amp;sheet=U0&amp;row=1746&amp;col=6&amp;number=3.2&amp;sourceID=14","3.2")</f>
        <v>3.2</v>
      </c>
      <c r="G1746" s="4" t="str">
        <f>HYPERLINK("http://141.218.60.56/~jnz1568/getInfo.php?workbook=14_06.xlsx&amp;sheet=U0&amp;row=1746&amp;col=7&amp;number=0.0104&amp;sourceID=14","0.0104")</f>
        <v>0.0104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HYPERLINK("http://141.218.60.56/~jnz1568/getInfo.php?workbook=14_06.xlsx&amp;sheet=U0&amp;row=1747&amp;col=6&amp;number=3.3&amp;sourceID=14","3.3")</f>
        <v>3.3</v>
      </c>
      <c r="G1747" s="4" t="str">
        <f>HYPERLINK("http://141.218.60.56/~jnz1568/getInfo.php?workbook=14_06.xlsx&amp;sheet=U0&amp;row=1747&amp;col=7&amp;number=0.0104&amp;sourceID=14","0.0104")</f>
        <v>0.0104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HYPERLINK("http://141.218.60.56/~jnz1568/getInfo.php?workbook=14_06.xlsx&amp;sheet=U0&amp;row=1748&amp;col=6&amp;number=3.4&amp;sourceID=14","3.4")</f>
        <v>3.4</v>
      </c>
      <c r="G1748" s="4" t="str">
        <f>HYPERLINK("http://141.218.60.56/~jnz1568/getInfo.php?workbook=14_06.xlsx&amp;sheet=U0&amp;row=1748&amp;col=7&amp;number=0.0104&amp;sourceID=14","0.0104")</f>
        <v>0.0104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HYPERLINK("http://141.218.60.56/~jnz1568/getInfo.php?workbook=14_06.xlsx&amp;sheet=U0&amp;row=1749&amp;col=6&amp;number=3.5&amp;sourceID=14","3.5")</f>
        <v>3.5</v>
      </c>
      <c r="G1749" s="4" t="str">
        <f>HYPERLINK("http://141.218.60.56/~jnz1568/getInfo.php?workbook=14_06.xlsx&amp;sheet=U0&amp;row=1749&amp;col=7&amp;number=0.0104&amp;sourceID=14","0.0104")</f>
        <v>0.0104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HYPERLINK("http://141.218.60.56/~jnz1568/getInfo.php?workbook=14_06.xlsx&amp;sheet=U0&amp;row=1750&amp;col=6&amp;number=3.6&amp;sourceID=14","3.6")</f>
        <v>3.6</v>
      </c>
      <c r="G1750" s="4" t="str">
        <f>HYPERLINK("http://141.218.60.56/~jnz1568/getInfo.php?workbook=14_06.xlsx&amp;sheet=U0&amp;row=1750&amp;col=7&amp;number=0.0104&amp;sourceID=14","0.0104")</f>
        <v>0.0104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HYPERLINK("http://141.218.60.56/~jnz1568/getInfo.php?workbook=14_06.xlsx&amp;sheet=U0&amp;row=1751&amp;col=6&amp;number=3.7&amp;sourceID=14","3.7")</f>
        <v>3.7</v>
      </c>
      <c r="G1751" s="4" t="str">
        <f>HYPERLINK("http://141.218.60.56/~jnz1568/getInfo.php?workbook=14_06.xlsx&amp;sheet=U0&amp;row=1751&amp;col=7&amp;number=0.0104&amp;sourceID=14","0.0104")</f>
        <v>0.0104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HYPERLINK("http://141.218.60.56/~jnz1568/getInfo.php?workbook=14_06.xlsx&amp;sheet=U0&amp;row=1752&amp;col=6&amp;number=3.8&amp;sourceID=14","3.8")</f>
        <v>3.8</v>
      </c>
      <c r="G1752" s="4" t="str">
        <f>HYPERLINK("http://141.218.60.56/~jnz1568/getInfo.php?workbook=14_06.xlsx&amp;sheet=U0&amp;row=1752&amp;col=7&amp;number=0.0104&amp;sourceID=14","0.0104")</f>
        <v>0.0104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HYPERLINK("http://141.218.60.56/~jnz1568/getInfo.php?workbook=14_06.xlsx&amp;sheet=U0&amp;row=1753&amp;col=6&amp;number=3.9&amp;sourceID=14","3.9")</f>
        <v>3.9</v>
      </c>
      <c r="G1753" s="4" t="str">
        <f>HYPERLINK("http://141.218.60.56/~jnz1568/getInfo.php?workbook=14_06.xlsx&amp;sheet=U0&amp;row=1753&amp;col=7&amp;number=0.0104&amp;sourceID=14","0.0104")</f>
        <v>0.0104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HYPERLINK("http://141.218.60.56/~jnz1568/getInfo.php?workbook=14_06.xlsx&amp;sheet=U0&amp;row=1754&amp;col=6&amp;number=4&amp;sourceID=14","4")</f>
        <v>4</v>
      </c>
      <c r="G1754" s="4" t="str">
        <f>HYPERLINK("http://141.218.60.56/~jnz1568/getInfo.php?workbook=14_06.xlsx&amp;sheet=U0&amp;row=1754&amp;col=7&amp;number=0.0104&amp;sourceID=14","0.0104")</f>
        <v>0.0104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HYPERLINK("http://141.218.60.56/~jnz1568/getInfo.php?workbook=14_06.xlsx&amp;sheet=U0&amp;row=1755&amp;col=6&amp;number=4.1&amp;sourceID=14","4.1")</f>
        <v>4.1</v>
      </c>
      <c r="G1755" s="4" t="str">
        <f>HYPERLINK("http://141.218.60.56/~jnz1568/getInfo.php?workbook=14_06.xlsx&amp;sheet=U0&amp;row=1755&amp;col=7&amp;number=0.0103&amp;sourceID=14","0.0103")</f>
        <v>0.0103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HYPERLINK("http://141.218.60.56/~jnz1568/getInfo.php?workbook=14_06.xlsx&amp;sheet=U0&amp;row=1756&amp;col=6&amp;number=4.2&amp;sourceID=14","4.2")</f>
        <v>4.2</v>
      </c>
      <c r="G1756" s="4" t="str">
        <f>HYPERLINK("http://141.218.60.56/~jnz1568/getInfo.php?workbook=14_06.xlsx&amp;sheet=U0&amp;row=1756&amp;col=7&amp;number=0.0103&amp;sourceID=14","0.0103")</f>
        <v>0.0103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HYPERLINK("http://141.218.60.56/~jnz1568/getInfo.php?workbook=14_06.xlsx&amp;sheet=U0&amp;row=1757&amp;col=6&amp;number=4.3&amp;sourceID=14","4.3")</f>
        <v>4.3</v>
      </c>
      <c r="G1757" s="4" t="str">
        <f>HYPERLINK("http://141.218.60.56/~jnz1568/getInfo.php?workbook=14_06.xlsx&amp;sheet=U0&amp;row=1757&amp;col=7&amp;number=0.0103&amp;sourceID=14","0.0103")</f>
        <v>0.0103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HYPERLINK("http://141.218.60.56/~jnz1568/getInfo.php?workbook=14_06.xlsx&amp;sheet=U0&amp;row=1758&amp;col=6&amp;number=4.4&amp;sourceID=14","4.4")</f>
        <v>4.4</v>
      </c>
      <c r="G1758" s="4" t="str">
        <f>HYPERLINK("http://141.218.60.56/~jnz1568/getInfo.php?workbook=14_06.xlsx&amp;sheet=U0&amp;row=1758&amp;col=7&amp;number=0.0103&amp;sourceID=14","0.0103")</f>
        <v>0.0103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HYPERLINK("http://141.218.60.56/~jnz1568/getInfo.php?workbook=14_06.xlsx&amp;sheet=U0&amp;row=1759&amp;col=6&amp;number=4.5&amp;sourceID=14","4.5")</f>
        <v>4.5</v>
      </c>
      <c r="G1759" s="4" t="str">
        <f>HYPERLINK("http://141.218.60.56/~jnz1568/getInfo.php?workbook=14_06.xlsx&amp;sheet=U0&amp;row=1759&amp;col=7&amp;number=0.0103&amp;sourceID=14","0.0103")</f>
        <v>0.0103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HYPERLINK("http://141.218.60.56/~jnz1568/getInfo.php?workbook=14_06.xlsx&amp;sheet=U0&amp;row=1760&amp;col=6&amp;number=4.6&amp;sourceID=14","4.6")</f>
        <v>4.6</v>
      </c>
      <c r="G1760" s="4" t="str">
        <f>HYPERLINK("http://141.218.60.56/~jnz1568/getInfo.php?workbook=14_06.xlsx&amp;sheet=U0&amp;row=1760&amp;col=7&amp;number=0.0102&amp;sourceID=14","0.0102")</f>
        <v>0.0102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HYPERLINK("http://141.218.60.56/~jnz1568/getInfo.php?workbook=14_06.xlsx&amp;sheet=U0&amp;row=1761&amp;col=6&amp;number=4.7&amp;sourceID=14","4.7")</f>
        <v>4.7</v>
      </c>
      <c r="G1761" s="4" t="str">
        <f>HYPERLINK("http://141.218.60.56/~jnz1568/getInfo.php?workbook=14_06.xlsx&amp;sheet=U0&amp;row=1761&amp;col=7&amp;number=0.0102&amp;sourceID=14","0.0102")</f>
        <v>0.0102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HYPERLINK("http://141.218.60.56/~jnz1568/getInfo.php?workbook=14_06.xlsx&amp;sheet=U0&amp;row=1762&amp;col=6&amp;number=4.8&amp;sourceID=14","4.8")</f>
        <v>4.8</v>
      </c>
      <c r="G1762" s="4" t="str">
        <f>HYPERLINK("http://141.218.60.56/~jnz1568/getInfo.php?workbook=14_06.xlsx&amp;sheet=U0&amp;row=1762&amp;col=7&amp;number=0.0101&amp;sourceID=14","0.0101")</f>
        <v>0.0101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HYPERLINK("http://141.218.60.56/~jnz1568/getInfo.php?workbook=14_06.xlsx&amp;sheet=U0&amp;row=1763&amp;col=6&amp;number=4.9&amp;sourceID=14","4.9")</f>
        <v>4.9</v>
      </c>
      <c r="G1763" s="4" t="str">
        <f>HYPERLINK("http://141.218.60.56/~jnz1568/getInfo.php?workbook=14_06.xlsx&amp;sheet=U0&amp;row=1763&amp;col=7&amp;number=0.0101&amp;sourceID=14","0.0101")</f>
        <v>0.0101</v>
      </c>
    </row>
    <row r="1764" spans="1:7">
      <c r="A1764" s="3">
        <v>14</v>
      </c>
      <c r="B1764" s="3">
        <v>6</v>
      </c>
      <c r="C1764" s="3">
        <v>2</v>
      </c>
      <c r="D1764" s="3">
        <v>46</v>
      </c>
      <c r="E1764" s="3">
        <v>1</v>
      </c>
      <c r="F1764" s="4" t="str">
        <f>HYPERLINK("http://141.218.60.56/~jnz1568/getInfo.php?workbook=14_06.xlsx&amp;sheet=U0&amp;row=1764&amp;col=6&amp;number=3&amp;sourceID=14","3")</f>
        <v>3</v>
      </c>
      <c r="G1764" s="4" t="str">
        <f>HYPERLINK("http://141.218.60.56/~jnz1568/getInfo.php?workbook=14_06.xlsx&amp;sheet=U0&amp;row=1764&amp;col=7&amp;number=0.0207&amp;sourceID=14","0.0207")</f>
        <v>0.0207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HYPERLINK("http://141.218.60.56/~jnz1568/getInfo.php?workbook=14_06.xlsx&amp;sheet=U0&amp;row=1765&amp;col=6&amp;number=3.1&amp;sourceID=14","3.1")</f>
        <v>3.1</v>
      </c>
      <c r="G1765" s="4" t="str">
        <f>HYPERLINK("http://141.218.60.56/~jnz1568/getInfo.php?workbook=14_06.xlsx&amp;sheet=U0&amp;row=1765&amp;col=7&amp;number=0.0207&amp;sourceID=14","0.0207")</f>
        <v>0.0207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HYPERLINK("http://141.218.60.56/~jnz1568/getInfo.php?workbook=14_06.xlsx&amp;sheet=U0&amp;row=1766&amp;col=6&amp;number=3.2&amp;sourceID=14","3.2")</f>
        <v>3.2</v>
      </c>
      <c r="G1766" s="4" t="str">
        <f>HYPERLINK("http://141.218.60.56/~jnz1568/getInfo.php?workbook=14_06.xlsx&amp;sheet=U0&amp;row=1766&amp;col=7&amp;number=0.0207&amp;sourceID=14","0.0207")</f>
        <v>0.0207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HYPERLINK("http://141.218.60.56/~jnz1568/getInfo.php?workbook=14_06.xlsx&amp;sheet=U0&amp;row=1767&amp;col=6&amp;number=3.3&amp;sourceID=14","3.3")</f>
        <v>3.3</v>
      </c>
      <c r="G1767" s="4" t="str">
        <f>HYPERLINK("http://141.218.60.56/~jnz1568/getInfo.php?workbook=14_06.xlsx&amp;sheet=U0&amp;row=1767&amp;col=7&amp;number=0.0207&amp;sourceID=14","0.0207")</f>
        <v>0.0207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HYPERLINK("http://141.218.60.56/~jnz1568/getInfo.php?workbook=14_06.xlsx&amp;sheet=U0&amp;row=1768&amp;col=6&amp;number=3.4&amp;sourceID=14","3.4")</f>
        <v>3.4</v>
      </c>
      <c r="G1768" s="4" t="str">
        <f>HYPERLINK("http://141.218.60.56/~jnz1568/getInfo.php?workbook=14_06.xlsx&amp;sheet=U0&amp;row=1768&amp;col=7&amp;number=0.0207&amp;sourceID=14","0.0207")</f>
        <v>0.0207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HYPERLINK("http://141.218.60.56/~jnz1568/getInfo.php?workbook=14_06.xlsx&amp;sheet=U0&amp;row=1769&amp;col=6&amp;number=3.5&amp;sourceID=14","3.5")</f>
        <v>3.5</v>
      </c>
      <c r="G1769" s="4" t="str">
        <f>HYPERLINK("http://141.218.60.56/~jnz1568/getInfo.php?workbook=14_06.xlsx&amp;sheet=U0&amp;row=1769&amp;col=7&amp;number=0.0207&amp;sourceID=14","0.0207")</f>
        <v>0.0207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HYPERLINK("http://141.218.60.56/~jnz1568/getInfo.php?workbook=14_06.xlsx&amp;sheet=U0&amp;row=1770&amp;col=6&amp;number=3.6&amp;sourceID=14","3.6")</f>
        <v>3.6</v>
      </c>
      <c r="G1770" s="4" t="str">
        <f>HYPERLINK("http://141.218.60.56/~jnz1568/getInfo.php?workbook=14_06.xlsx&amp;sheet=U0&amp;row=1770&amp;col=7&amp;number=0.0207&amp;sourceID=14","0.0207")</f>
        <v>0.0207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HYPERLINK("http://141.218.60.56/~jnz1568/getInfo.php?workbook=14_06.xlsx&amp;sheet=U0&amp;row=1771&amp;col=6&amp;number=3.7&amp;sourceID=14","3.7")</f>
        <v>3.7</v>
      </c>
      <c r="G1771" s="4" t="str">
        <f>HYPERLINK("http://141.218.60.56/~jnz1568/getInfo.php?workbook=14_06.xlsx&amp;sheet=U0&amp;row=1771&amp;col=7&amp;number=0.0207&amp;sourceID=14","0.0207")</f>
        <v>0.0207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HYPERLINK("http://141.218.60.56/~jnz1568/getInfo.php?workbook=14_06.xlsx&amp;sheet=U0&amp;row=1772&amp;col=6&amp;number=3.8&amp;sourceID=14","3.8")</f>
        <v>3.8</v>
      </c>
      <c r="G1772" s="4" t="str">
        <f>HYPERLINK("http://141.218.60.56/~jnz1568/getInfo.php?workbook=14_06.xlsx&amp;sheet=U0&amp;row=1772&amp;col=7&amp;number=0.0207&amp;sourceID=14","0.0207")</f>
        <v>0.0207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HYPERLINK("http://141.218.60.56/~jnz1568/getInfo.php?workbook=14_06.xlsx&amp;sheet=U0&amp;row=1773&amp;col=6&amp;number=3.9&amp;sourceID=14","3.9")</f>
        <v>3.9</v>
      </c>
      <c r="G1773" s="4" t="str">
        <f>HYPERLINK("http://141.218.60.56/~jnz1568/getInfo.php?workbook=14_06.xlsx&amp;sheet=U0&amp;row=1773&amp;col=7&amp;number=0.0207&amp;sourceID=14","0.0207")</f>
        <v>0.0207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HYPERLINK("http://141.218.60.56/~jnz1568/getInfo.php?workbook=14_06.xlsx&amp;sheet=U0&amp;row=1774&amp;col=6&amp;number=4&amp;sourceID=14","4")</f>
        <v>4</v>
      </c>
      <c r="G1774" s="4" t="str">
        <f>HYPERLINK("http://141.218.60.56/~jnz1568/getInfo.php?workbook=14_06.xlsx&amp;sheet=U0&amp;row=1774&amp;col=7&amp;number=0.0206&amp;sourceID=14","0.0206")</f>
        <v>0.0206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HYPERLINK("http://141.218.60.56/~jnz1568/getInfo.php?workbook=14_06.xlsx&amp;sheet=U0&amp;row=1775&amp;col=6&amp;number=4.1&amp;sourceID=14","4.1")</f>
        <v>4.1</v>
      </c>
      <c r="G1775" s="4" t="str">
        <f>HYPERLINK("http://141.218.60.56/~jnz1568/getInfo.php?workbook=14_06.xlsx&amp;sheet=U0&amp;row=1775&amp;col=7&amp;number=0.0206&amp;sourceID=14","0.0206")</f>
        <v>0.0206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HYPERLINK("http://141.218.60.56/~jnz1568/getInfo.php?workbook=14_06.xlsx&amp;sheet=U0&amp;row=1776&amp;col=6&amp;number=4.2&amp;sourceID=14","4.2")</f>
        <v>4.2</v>
      </c>
      <c r="G1776" s="4" t="str">
        <f>HYPERLINK("http://141.218.60.56/~jnz1568/getInfo.php?workbook=14_06.xlsx&amp;sheet=U0&amp;row=1776&amp;col=7&amp;number=0.0206&amp;sourceID=14","0.0206")</f>
        <v>0.0206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HYPERLINK("http://141.218.60.56/~jnz1568/getInfo.php?workbook=14_06.xlsx&amp;sheet=U0&amp;row=1777&amp;col=6&amp;number=4.3&amp;sourceID=14","4.3")</f>
        <v>4.3</v>
      </c>
      <c r="G1777" s="4" t="str">
        <f>HYPERLINK("http://141.218.60.56/~jnz1568/getInfo.php?workbook=14_06.xlsx&amp;sheet=U0&amp;row=1777&amp;col=7&amp;number=0.0206&amp;sourceID=14","0.0206")</f>
        <v>0.0206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HYPERLINK("http://141.218.60.56/~jnz1568/getInfo.php?workbook=14_06.xlsx&amp;sheet=U0&amp;row=1778&amp;col=6&amp;number=4.4&amp;sourceID=14","4.4")</f>
        <v>4.4</v>
      </c>
      <c r="G1778" s="4" t="str">
        <f>HYPERLINK("http://141.218.60.56/~jnz1568/getInfo.php?workbook=14_06.xlsx&amp;sheet=U0&amp;row=1778&amp;col=7&amp;number=0.0205&amp;sourceID=14","0.0205")</f>
        <v>0.0205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HYPERLINK("http://141.218.60.56/~jnz1568/getInfo.php?workbook=14_06.xlsx&amp;sheet=U0&amp;row=1779&amp;col=6&amp;number=4.5&amp;sourceID=14","4.5")</f>
        <v>4.5</v>
      </c>
      <c r="G1779" s="4" t="str">
        <f>HYPERLINK("http://141.218.60.56/~jnz1568/getInfo.php?workbook=14_06.xlsx&amp;sheet=U0&amp;row=1779&amp;col=7&amp;number=0.0204&amp;sourceID=14","0.0204")</f>
        <v>0.0204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HYPERLINK("http://141.218.60.56/~jnz1568/getInfo.php?workbook=14_06.xlsx&amp;sheet=U0&amp;row=1780&amp;col=6&amp;number=4.6&amp;sourceID=14","4.6")</f>
        <v>4.6</v>
      </c>
      <c r="G1780" s="4" t="str">
        <f>HYPERLINK("http://141.218.60.56/~jnz1568/getInfo.php?workbook=14_06.xlsx&amp;sheet=U0&amp;row=1780&amp;col=7&amp;number=0.0204&amp;sourceID=14","0.0204")</f>
        <v>0.0204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HYPERLINK("http://141.218.60.56/~jnz1568/getInfo.php?workbook=14_06.xlsx&amp;sheet=U0&amp;row=1781&amp;col=6&amp;number=4.7&amp;sourceID=14","4.7")</f>
        <v>4.7</v>
      </c>
      <c r="G1781" s="4" t="str">
        <f>HYPERLINK("http://141.218.60.56/~jnz1568/getInfo.php?workbook=14_06.xlsx&amp;sheet=U0&amp;row=1781&amp;col=7&amp;number=0.0203&amp;sourceID=14","0.0203")</f>
        <v>0.0203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HYPERLINK("http://141.218.60.56/~jnz1568/getInfo.php?workbook=14_06.xlsx&amp;sheet=U0&amp;row=1782&amp;col=6&amp;number=4.8&amp;sourceID=14","4.8")</f>
        <v>4.8</v>
      </c>
      <c r="G1782" s="4" t="str">
        <f>HYPERLINK("http://141.218.60.56/~jnz1568/getInfo.php?workbook=14_06.xlsx&amp;sheet=U0&amp;row=1782&amp;col=7&amp;number=0.0202&amp;sourceID=14","0.0202")</f>
        <v>0.0202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HYPERLINK("http://141.218.60.56/~jnz1568/getInfo.php?workbook=14_06.xlsx&amp;sheet=U0&amp;row=1783&amp;col=6&amp;number=4.9&amp;sourceID=14","4.9")</f>
        <v>4.9</v>
      </c>
      <c r="G1783" s="4" t="str">
        <f>HYPERLINK("http://141.218.60.56/~jnz1568/getInfo.php?workbook=14_06.xlsx&amp;sheet=U0&amp;row=1783&amp;col=7&amp;number=0.02&amp;sourceID=14","0.02")</f>
        <v>0.02</v>
      </c>
    </row>
    <row r="1784" spans="1:7">
      <c r="A1784" s="3">
        <v>14</v>
      </c>
      <c r="B1784" s="3">
        <v>6</v>
      </c>
      <c r="C1784" s="3">
        <v>3</v>
      </c>
      <c r="D1784" s="3">
        <v>4</v>
      </c>
      <c r="E1784" s="3">
        <v>1</v>
      </c>
      <c r="F1784" s="4" t="str">
        <f>HYPERLINK("http://141.218.60.56/~jnz1568/getInfo.php?workbook=14_06.xlsx&amp;sheet=U0&amp;row=1784&amp;col=6&amp;number=3&amp;sourceID=14","3")</f>
        <v>3</v>
      </c>
      <c r="G1784" s="4" t="str">
        <f>HYPERLINK("http://141.218.60.56/~jnz1568/getInfo.php?workbook=14_06.xlsx&amp;sheet=U0&amp;row=1784&amp;col=7&amp;number=0.4&amp;sourceID=14","0.4")</f>
        <v>0.4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HYPERLINK("http://141.218.60.56/~jnz1568/getInfo.php?workbook=14_06.xlsx&amp;sheet=U0&amp;row=1785&amp;col=6&amp;number=3.1&amp;sourceID=14","3.1")</f>
        <v>3.1</v>
      </c>
      <c r="G1785" s="4" t="str">
        <f>HYPERLINK("http://141.218.60.56/~jnz1568/getInfo.php?workbook=14_06.xlsx&amp;sheet=U0&amp;row=1785&amp;col=7&amp;number=0.4&amp;sourceID=14","0.4")</f>
        <v>0.4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HYPERLINK("http://141.218.60.56/~jnz1568/getInfo.php?workbook=14_06.xlsx&amp;sheet=U0&amp;row=1786&amp;col=6&amp;number=3.2&amp;sourceID=14","3.2")</f>
        <v>3.2</v>
      </c>
      <c r="G1786" s="4" t="str">
        <f>HYPERLINK("http://141.218.60.56/~jnz1568/getInfo.php?workbook=14_06.xlsx&amp;sheet=U0&amp;row=1786&amp;col=7&amp;number=0.4&amp;sourceID=14","0.4")</f>
        <v>0.4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HYPERLINK("http://141.218.60.56/~jnz1568/getInfo.php?workbook=14_06.xlsx&amp;sheet=U0&amp;row=1787&amp;col=6&amp;number=3.3&amp;sourceID=14","3.3")</f>
        <v>3.3</v>
      </c>
      <c r="G1787" s="4" t="str">
        <f>HYPERLINK("http://141.218.60.56/~jnz1568/getInfo.php?workbook=14_06.xlsx&amp;sheet=U0&amp;row=1787&amp;col=7&amp;number=0.4&amp;sourceID=14","0.4")</f>
        <v>0.4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HYPERLINK("http://141.218.60.56/~jnz1568/getInfo.php?workbook=14_06.xlsx&amp;sheet=U0&amp;row=1788&amp;col=6&amp;number=3.4&amp;sourceID=14","3.4")</f>
        <v>3.4</v>
      </c>
      <c r="G1788" s="4" t="str">
        <f>HYPERLINK("http://141.218.60.56/~jnz1568/getInfo.php?workbook=14_06.xlsx&amp;sheet=U0&amp;row=1788&amp;col=7&amp;number=0.4&amp;sourceID=14","0.4")</f>
        <v>0.4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HYPERLINK("http://141.218.60.56/~jnz1568/getInfo.php?workbook=14_06.xlsx&amp;sheet=U0&amp;row=1789&amp;col=6&amp;number=3.5&amp;sourceID=14","3.5")</f>
        <v>3.5</v>
      </c>
      <c r="G1789" s="4" t="str">
        <f>HYPERLINK("http://141.218.60.56/~jnz1568/getInfo.php?workbook=14_06.xlsx&amp;sheet=U0&amp;row=1789&amp;col=7&amp;number=0.4&amp;sourceID=14","0.4")</f>
        <v>0.4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HYPERLINK("http://141.218.60.56/~jnz1568/getInfo.php?workbook=14_06.xlsx&amp;sheet=U0&amp;row=1790&amp;col=6&amp;number=3.6&amp;sourceID=14","3.6")</f>
        <v>3.6</v>
      </c>
      <c r="G1790" s="4" t="str">
        <f>HYPERLINK("http://141.218.60.56/~jnz1568/getInfo.php?workbook=14_06.xlsx&amp;sheet=U0&amp;row=1790&amp;col=7&amp;number=0.399&amp;sourceID=14","0.399")</f>
        <v>0.399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HYPERLINK("http://141.218.60.56/~jnz1568/getInfo.php?workbook=14_06.xlsx&amp;sheet=U0&amp;row=1791&amp;col=6&amp;number=3.7&amp;sourceID=14","3.7")</f>
        <v>3.7</v>
      </c>
      <c r="G1791" s="4" t="str">
        <f>HYPERLINK("http://141.218.60.56/~jnz1568/getInfo.php?workbook=14_06.xlsx&amp;sheet=U0&amp;row=1791&amp;col=7&amp;number=0.399&amp;sourceID=14","0.399")</f>
        <v>0.399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HYPERLINK("http://141.218.60.56/~jnz1568/getInfo.php?workbook=14_06.xlsx&amp;sheet=U0&amp;row=1792&amp;col=6&amp;number=3.8&amp;sourceID=14","3.8")</f>
        <v>3.8</v>
      </c>
      <c r="G1792" s="4" t="str">
        <f>HYPERLINK("http://141.218.60.56/~jnz1568/getInfo.php?workbook=14_06.xlsx&amp;sheet=U0&amp;row=1792&amp;col=7&amp;number=0.399&amp;sourceID=14","0.399")</f>
        <v>0.399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HYPERLINK("http://141.218.60.56/~jnz1568/getInfo.php?workbook=14_06.xlsx&amp;sheet=U0&amp;row=1793&amp;col=6&amp;number=3.9&amp;sourceID=14","3.9")</f>
        <v>3.9</v>
      </c>
      <c r="G1793" s="4" t="str">
        <f>HYPERLINK("http://141.218.60.56/~jnz1568/getInfo.php?workbook=14_06.xlsx&amp;sheet=U0&amp;row=1793&amp;col=7&amp;number=0.398&amp;sourceID=14","0.398")</f>
        <v>0.398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HYPERLINK("http://141.218.60.56/~jnz1568/getInfo.php?workbook=14_06.xlsx&amp;sheet=U0&amp;row=1794&amp;col=6&amp;number=4&amp;sourceID=14","4")</f>
        <v>4</v>
      </c>
      <c r="G1794" s="4" t="str">
        <f>HYPERLINK("http://141.218.60.56/~jnz1568/getInfo.php?workbook=14_06.xlsx&amp;sheet=U0&amp;row=1794&amp;col=7&amp;number=0.398&amp;sourceID=14","0.398")</f>
        <v>0.398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HYPERLINK("http://141.218.60.56/~jnz1568/getInfo.php?workbook=14_06.xlsx&amp;sheet=U0&amp;row=1795&amp;col=6&amp;number=4.1&amp;sourceID=14","4.1")</f>
        <v>4.1</v>
      </c>
      <c r="G1795" s="4" t="str">
        <f>HYPERLINK("http://141.218.60.56/~jnz1568/getInfo.php?workbook=14_06.xlsx&amp;sheet=U0&amp;row=1795&amp;col=7&amp;number=0.397&amp;sourceID=14","0.397")</f>
        <v>0.397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HYPERLINK("http://141.218.60.56/~jnz1568/getInfo.php?workbook=14_06.xlsx&amp;sheet=U0&amp;row=1796&amp;col=6&amp;number=4.2&amp;sourceID=14","4.2")</f>
        <v>4.2</v>
      </c>
      <c r="G1796" s="4" t="str">
        <f>HYPERLINK("http://141.218.60.56/~jnz1568/getInfo.php?workbook=14_06.xlsx&amp;sheet=U0&amp;row=1796&amp;col=7&amp;number=0.396&amp;sourceID=14","0.396")</f>
        <v>0.396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HYPERLINK("http://141.218.60.56/~jnz1568/getInfo.php?workbook=14_06.xlsx&amp;sheet=U0&amp;row=1797&amp;col=6&amp;number=4.3&amp;sourceID=14","4.3")</f>
        <v>4.3</v>
      </c>
      <c r="G1797" s="4" t="str">
        <f>HYPERLINK("http://141.218.60.56/~jnz1568/getInfo.php?workbook=14_06.xlsx&amp;sheet=U0&amp;row=1797&amp;col=7&amp;number=0.395&amp;sourceID=14","0.395")</f>
        <v>0.395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HYPERLINK("http://141.218.60.56/~jnz1568/getInfo.php?workbook=14_06.xlsx&amp;sheet=U0&amp;row=1798&amp;col=6&amp;number=4.4&amp;sourceID=14","4.4")</f>
        <v>4.4</v>
      </c>
      <c r="G1798" s="4" t="str">
        <f>HYPERLINK("http://141.218.60.56/~jnz1568/getInfo.php?workbook=14_06.xlsx&amp;sheet=U0&amp;row=1798&amp;col=7&amp;number=0.393&amp;sourceID=14","0.393")</f>
        <v>0.393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HYPERLINK("http://141.218.60.56/~jnz1568/getInfo.php?workbook=14_06.xlsx&amp;sheet=U0&amp;row=1799&amp;col=6&amp;number=4.5&amp;sourceID=14","4.5")</f>
        <v>4.5</v>
      </c>
      <c r="G1799" s="4" t="str">
        <f>HYPERLINK("http://141.218.60.56/~jnz1568/getInfo.php?workbook=14_06.xlsx&amp;sheet=U0&amp;row=1799&amp;col=7&amp;number=0.392&amp;sourceID=14","0.392")</f>
        <v>0.392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HYPERLINK("http://141.218.60.56/~jnz1568/getInfo.php?workbook=14_06.xlsx&amp;sheet=U0&amp;row=1800&amp;col=6&amp;number=4.6&amp;sourceID=14","4.6")</f>
        <v>4.6</v>
      </c>
      <c r="G1800" s="4" t="str">
        <f>HYPERLINK("http://141.218.60.56/~jnz1568/getInfo.php?workbook=14_06.xlsx&amp;sheet=U0&amp;row=1800&amp;col=7&amp;number=0.389&amp;sourceID=14","0.389")</f>
        <v>0.389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HYPERLINK("http://141.218.60.56/~jnz1568/getInfo.php?workbook=14_06.xlsx&amp;sheet=U0&amp;row=1801&amp;col=6&amp;number=4.7&amp;sourceID=14","4.7")</f>
        <v>4.7</v>
      </c>
      <c r="G1801" s="4" t="str">
        <f>HYPERLINK("http://141.218.60.56/~jnz1568/getInfo.php?workbook=14_06.xlsx&amp;sheet=U0&amp;row=1801&amp;col=7&amp;number=0.387&amp;sourceID=14","0.387")</f>
        <v>0.387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HYPERLINK("http://141.218.60.56/~jnz1568/getInfo.php?workbook=14_06.xlsx&amp;sheet=U0&amp;row=1802&amp;col=6&amp;number=4.8&amp;sourceID=14","4.8")</f>
        <v>4.8</v>
      </c>
      <c r="G1802" s="4" t="str">
        <f>HYPERLINK("http://141.218.60.56/~jnz1568/getInfo.php?workbook=14_06.xlsx&amp;sheet=U0&amp;row=1802&amp;col=7&amp;number=0.383&amp;sourceID=14","0.383")</f>
        <v>0.383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HYPERLINK("http://141.218.60.56/~jnz1568/getInfo.php?workbook=14_06.xlsx&amp;sheet=U0&amp;row=1803&amp;col=6&amp;number=4.9&amp;sourceID=14","4.9")</f>
        <v>4.9</v>
      </c>
      <c r="G1803" s="4" t="str">
        <f>HYPERLINK("http://141.218.60.56/~jnz1568/getInfo.php?workbook=14_06.xlsx&amp;sheet=U0&amp;row=1803&amp;col=7&amp;number=0.379&amp;sourceID=14","0.379")</f>
        <v>0.379</v>
      </c>
    </row>
    <row r="1804" spans="1:7">
      <c r="A1804" s="3">
        <v>14</v>
      </c>
      <c r="B1804" s="3">
        <v>6</v>
      </c>
      <c r="C1804" s="3">
        <v>3</v>
      </c>
      <c r="D1804" s="3">
        <v>5</v>
      </c>
      <c r="E1804" s="3">
        <v>1</v>
      </c>
      <c r="F1804" s="4" t="str">
        <f>HYPERLINK("http://141.218.60.56/~jnz1568/getInfo.php?workbook=14_06.xlsx&amp;sheet=U0&amp;row=1804&amp;col=6&amp;number=3&amp;sourceID=14","3")</f>
        <v>3</v>
      </c>
      <c r="G1804" s="4" t="str">
        <f>HYPERLINK("http://141.218.60.56/~jnz1568/getInfo.php?workbook=14_06.xlsx&amp;sheet=U0&amp;row=1804&amp;col=7&amp;number=0.0508&amp;sourceID=14","0.0508")</f>
        <v>0.0508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HYPERLINK("http://141.218.60.56/~jnz1568/getInfo.php?workbook=14_06.xlsx&amp;sheet=U0&amp;row=1805&amp;col=6&amp;number=3.1&amp;sourceID=14","3.1")</f>
        <v>3.1</v>
      </c>
      <c r="G1805" s="4" t="str">
        <f>HYPERLINK("http://141.218.60.56/~jnz1568/getInfo.php?workbook=14_06.xlsx&amp;sheet=U0&amp;row=1805&amp;col=7&amp;number=0.0508&amp;sourceID=14","0.0508")</f>
        <v>0.0508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HYPERLINK("http://141.218.60.56/~jnz1568/getInfo.php?workbook=14_06.xlsx&amp;sheet=U0&amp;row=1806&amp;col=6&amp;number=3.2&amp;sourceID=14","3.2")</f>
        <v>3.2</v>
      </c>
      <c r="G1806" s="4" t="str">
        <f>HYPERLINK("http://141.218.60.56/~jnz1568/getInfo.php?workbook=14_06.xlsx&amp;sheet=U0&amp;row=1806&amp;col=7&amp;number=0.0508&amp;sourceID=14","0.0508")</f>
        <v>0.0508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HYPERLINK("http://141.218.60.56/~jnz1568/getInfo.php?workbook=14_06.xlsx&amp;sheet=U0&amp;row=1807&amp;col=6&amp;number=3.3&amp;sourceID=14","3.3")</f>
        <v>3.3</v>
      </c>
      <c r="G1807" s="4" t="str">
        <f>HYPERLINK("http://141.218.60.56/~jnz1568/getInfo.php?workbook=14_06.xlsx&amp;sheet=U0&amp;row=1807&amp;col=7&amp;number=0.0508&amp;sourceID=14","0.0508")</f>
        <v>0.0508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HYPERLINK("http://141.218.60.56/~jnz1568/getInfo.php?workbook=14_06.xlsx&amp;sheet=U0&amp;row=1808&amp;col=6&amp;number=3.4&amp;sourceID=14","3.4")</f>
        <v>3.4</v>
      </c>
      <c r="G1808" s="4" t="str">
        <f>HYPERLINK("http://141.218.60.56/~jnz1568/getInfo.php?workbook=14_06.xlsx&amp;sheet=U0&amp;row=1808&amp;col=7&amp;number=0.0508&amp;sourceID=14","0.0508")</f>
        <v>0.0508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HYPERLINK("http://141.218.60.56/~jnz1568/getInfo.php?workbook=14_06.xlsx&amp;sheet=U0&amp;row=1809&amp;col=6&amp;number=3.5&amp;sourceID=14","3.5")</f>
        <v>3.5</v>
      </c>
      <c r="G1809" s="4" t="str">
        <f>HYPERLINK("http://141.218.60.56/~jnz1568/getInfo.php?workbook=14_06.xlsx&amp;sheet=U0&amp;row=1809&amp;col=7&amp;number=0.0507&amp;sourceID=14","0.0507")</f>
        <v>0.0507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HYPERLINK("http://141.218.60.56/~jnz1568/getInfo.php?workbook=14_06.xlsx&amp;sheet=U0&amp;row=1810&amp;col=6&amp;number=3.6&amp;sourceID=14","3.6")</f>
        <v>3.6</v>
      </c>
      <c r="G1810" s="4" t="str">
        <f>HYPERLINK("http://141.218.60.56/~jnz1568/getInfo.php?workbook=14_06.xlsx&amp;sheet=U0&amp;row=1810&amp;col=7&amp;number=0.0507&amp;sourceID=14","0.0507")</f>
        <v>0.0507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HYPERLINK("http://141.218.60.56/~jnz1568/getInfo.php?workbook=14_06.xlsx&amp;sheet=U0&amp;row=1811&amp;col=6&amp;number=3.7&amp;sourceID=14","3.7")</f>
        <v>3.7</v>
      </c>
      <c r="G1811" s="4" t="str">
        <f>HYPERLINK("http://141.218.60.56/~jnz1568/getInfo.php?workbook=14_06.xlsx&amp;sheet=U0&amp;row=1811&amp;col=7&amp;number=0.0507&amp;sourceID=14","0.0507")</f>
        <v>0.0507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HYPERLINK("http://141.218.60.56/~jnz1568/getInfo.php?workbook=14_06.xlsx&amp;sheet=U0&amp;row=1812&amp;col=6&amp;number=3.8&amp;sourceID=14","3.8")</f>
        <v>3.8</v>
      </c>
      <c r="G1812" s="4" t="str">
        <f>HYPERLINK("http://141.218.60.56/~jnz1568/getInfo.php?workbook=14_06.xlsx&amp;sheet=U0&amp;row=1812&amp;col=7&amp;number=0.0506&amp;sourceID=14","0.0506")</f>
        <v>0.0506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HYPERLINK("http://141.218.60.56/~jnz1568/getInfo.php?workbook=14_06.xlsx&amp;sheet=U0&amp;row=1813&amp;col=6&amp;number=3.9&amp;sourceID=14","3.9")</f>
        <v>3.9</v>
      </c>
      <c r="G1813" s="4" t="str">
        <f>HYPERLINK("http://141.218.60.56/~jnz1568/getInfo.php?workbook=14_06.xlsx&amp;sheet=U0&amp;row=1813&amp;col=7&amp;number=0.0506&amp;sourceID=14","0.0506")</f>
        <v>0.0506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HYPERLINK("http://141.218.60.56/~jnz1568/getInfo.php?workbook=14_06.xlsx&amp;sheet=U0&amp;row=1814&amp;col=6&amp;number=4&amp;sourceID=14","4")</f>
        <v>4</v>
      </c>
      <c r="G1814" s="4" t="str">
        <f>HYPERLINK("http://141.218.60.56/~jnz1568/getInfo.php?workbook=14_06.xlsx&amp;sheet=U0&amp;row=1814&amp;col=7&amp;number=0.0505&amp;sourceID=14","0.0505")</f>
        <v>0.0505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HYPERLINK("http://141.218.60.56/~jnz1568/getInfo.php?workbook=14_06.xlsx&amp;sheet=U0&amp;row=1815&amp;col=6&amp;number=4.1&amp;sourceID=14","4.1")</f>
        <v>4.1</v>
      </c>
      <c r="G1815" s="4" t="str">
        <f>HYPERLINK("http://141.218.60.56/~jnz1568/getInfo.php?workbook=14_06.xlsx&amp;sheet=U0&amp;row=1815&amp;col=7&amp;number=0.0504&amp;sourceID=14","0.0504")</f>
        <v>0.0504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HYPERLINK("http://141.218.60.56/~jnz1568/getInfo.php?workbook=14_06.xlsx&amp;sheet=U0&amp;row=1816&amp;col=6&amp;number=4.2&amp;sourceID=14","4.2")</f>
        <v>4.2</v>
      </c>
      <c r="G1816" s="4" t="str">
        <f>HYPERLINK("http://141.218.60.56/~jnz1568/getInfo.php?workbook=14_06.xlsx&amp;sheet=U0&amp;row=1816&amp;col=7&amp;number=0.0503&amp;sourceID=14","0.0503")</f>
        <v>0.0503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HYPERLINK("http://141.218.60.56/~jnz1568/getInfo.php?workbook=14_06.xlsx&amp;sheet=U0&amp;row=1817&amp;col=6&amp;number=4.3&amp;sourceID=14","4.3")</f>
        <v>4.3</v>
      </c>
      <c r="G1817" s="4" t="str">
        <f>HYPERLINK("http://141.218.60.56/~jnz1568/getInfo.php?workbook=14_06.xlsx&amp;sheet=U0&amp;row=1817&amp;col=7&amp;number=0.0501&amp;sourceID=14","0.0501")</f>
        <v>0.0501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HYPERLINK("http://141.218.60.56/~jnz1568/getInfo.php?workbook=14_06.xlsx&amp;sheet=U0&amp;row=1818&amp;col=6&amp;number=4.4&amp;sourceID=14","4.4")</f>
        <v>4.4</v>
      </c>
      <c r="G1818" s="4" t="str">
        <f>HYPERLINK("http://141.218.60.56/~jnz1568/getInfo.php?workbook=14_06.xlsx&amp;sheet=U0&amp;row=1818&amp;col=7&amp;number=0.05&amp;sourceID=14","0.05")</f>
        <v>0.05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HYPERLINK("http://141.218.60.56/~jnz1568/getInfo.php?workbook=14_06.xlsx&amp;sheet=U0&amp;row=1819&amp;col=6&amp;number=4.5&amp;sourceID=14","4.5")</f>
        <v>4.5</v>
      </c>
      <c r="G1819" s="4" t="str">
        <f>HYPERLINK("http://141.218.60.56/~jnz1568/getInfo.php?workbook=14_06.xlsx&amp;sheet=U0&amp;row=1819&amp;col=7&amp;number=0.0498&amp;sourceID=14","0.0498")</f>
        <v>0.0498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HYPERLINK("http://141.218.60.56/~jnz1568/getInfo.php?workbook=14_06.xlsx&amp;sheet=U0&amp;row=1820&amp;col=6&amp;number=4.6&amp;sourceID=14","4.6")</f>
        <v>4.6</v>
      </c>
      <c r="G1820" s="4" t="str">
        <f>HYPERLINK("http://141.218.60.56/~jnz1568/getInfo.php?workbook=14_06.xlsx&amp;sheet=U0&amp;row=1820&amp;col=7&amp;number=0.0495&amp;sourceID=14","0.0495")</f>
        <v>0.0495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HYPERLINK("http://141.218.60.56/~jnz1568/getInfo.php?workbook=14_06.xlsx&amp;sheet=U0&amp;row=1821&amp;col=6&amp;number=4.7&amp;sourceID=14","4.7")</f>
        <v>4.7</v>
      </c>
      <c r="G1821" s="4" t="str">
        <f>HYPERLINK("http://141.218.60.56/~jnz1568/getInfo.php?workbook=14_06.xlsx&amp;sheet=U0&amp;row=1821&amp;col=7&amp;number=0.0491&amp;sourceID=14","0.0491")</f>
        <v>0.0491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HYPERLINK("http://141.218.60.56/~jnz1568/getInfo.php?workbook=14_06.xlsx&amp;sheet=U0&amp;row=1822&amp;col=6&amp;number=4.8&amp;sourceID=14","4.8")</f>
        <v>4.8</v>
      </c>
      <c r="G1822" s="4" t="str">
        <f>HYPERLINK("http://141.218.60.56/~jnz1568/getInfo.php?workbook=14_06.xlsx&amp;sheet=U0&amp;row=1822&amp;col=7&amp;number=0.0487&amp;sourceID=14","0.0487")</f>
        <v>0.0487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HYPERLINK("http://141.218.60.56/~jnz1568/getInfo.php?workbook=14_06.xlsx&amp;sheet=U0&amp;row=1823&amp;col=6&amp;number=4.9&amp;sourceID=14","4.9")</f>
        <v>4.9</v>
      </c>
      <c r="G1823" s="4" t="str">
        <f>HYPERLINK("http://141.218.60.56/~jnz1568/getInfo.php?workbook=14_06.xlsx&amp;sheet=U0&amp;row=1823&amp;col=7&amp;number=0.0482&amp;sourceID=14","0.0482")</f>
        <v>0.0482</v>
      </c>
    </row>
    <row r="1824" spans="1:7">
      <c r="A1824" s="3">
        <v>14</v>
      </c>
      <c r="B1824" s="3">
        <v>6</v>
      </c>
      <c r="C1824" s="3">
        <v>3</v>
      </c>
      <c r="D1824" s="3">
        <v>6</v>
      </c>
      <c r="E1824" s="3">
        <v>1</v>
      </c>
      <c r="F1824" s="4" t="str">
        <f>HYPERLINK("http://141.218.60.56/~jnz1568/getInfo.php?workbook=14_06.xlsx&amp;sheet=U0&amp;row=1824&amp;col=6&amp;number=3&amp;sourceID=14","3")</f>
        <v>3</v>
      </c>
      <c r="G1824" s="4" t="str">
        <f>HYPERLINK("http://141.218.60.56/~jnz1568/getInfo.php?workbook=14_06.xlsx&amp;sheet=U0&amp;row=1824&amp;col=7&amp;number=0.0672&amp;sourceID=14","0.0672")</f>
        <v>0.0672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HYPERLINK("http://141.218.60.56/~jnz1568/getInfo.php?workbook=14_06.xlsx&amp;sheet=U0&amp;row=1825&amp;col=6&amp;number=3.1&amp;sourceID=14","3.1")</f>
        <v>3.1</v>
      </c>
      <c r="G1825" s="4" t="str">
        <f>HYPERLINK("http://141.218.60.56/~jnz1568/getInfo.php?workbook=14_06.xlsx&amp;sheet=U0&amp;row=1825&amp;col=7&amp;number=0.0672&amp;sourceID=14","0.0672")</f>
        <v>0.0672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HYPERLINK("http://141.218.60.56/~jnz1568/getInfo.php?workbook=14_06.xlsx&amp;sheet=U0&amp;row=1826&amp;col=6&amp;number=3.2&amp;sourceID=14","3.2")</f>
        <v>3.2</v>
      </c>
      <c r="G1826" s="4" t="str">
        <f>HYPERLINK("http://141.218.60.56/~jnz1568/getInfo.php?workbook=14_06.xlsx&amp;sheet=U0&amp;row=1826&amp;col=7&amp;number=0.0672&amp;sourceID=14","0.0672")</f>
        <v>0.0672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HYPERLINK("http://141.218.60.56/~jnz1568/getInfo.php?workbook=14_06.xlsx&amp;sheet=U0&amp;row=1827&amp;col=6&amp;number=3.3&amp;sourceID=14","3.3")</f>
        <v>3.3</v>
      </c>
      <c r="G1827" s="4" t="str">
        <f>HYPERLINK("http://141.218.60.56/~jnz1568/getInfo.php?workbook=14_06.xlsx&amp;sheet=U0&amp;row=1827&amp;col=7&amp;number=0.0672&amp;sourceID=14","0.0672")</f>
        <v>0.0672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HYPERLINK("http://141.218.60.56/~jnz1568/getInfo.php?workbook=14_06.xlsx&amp;sheet=U0&amp;row=1828&amp;col=6&amp;number=3.4&amp;sourceID=14","3.4")</f>
        <v>3.4</v>
      </c>
      <c r="G1828" s="4" t="str">
        <f>HYPERLINK("http://141.218.60.56/~jnz1568/getInfo.php?workbook=14_06.xlsx&amp;sheet=U0&amp;row=1828&amp;col=7&amp;number=0.0672&amp;sourceID=14","0.0672")</f>
        <v>0.0672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HYPERLINK("http://141.218.60.56/~jnz1568/getInfo.php?workbook=14_06.xlsx&amp;sheet=U0&amp;row=1829&amp;col=6&amp;number=3.5&amp;sourceID=14","3.5")</f>
        <v>3.5</v>
      </c>
      <c r="G1829" s="4" t="str">
        <f>HYPERLINK("http://141.218.60.56/~jnz1568/getInfo.php?workbook=14_06.xlsx&amp;sheet=U0&amp;row=1829&amp;col=7&amp;number=0.0672&amp;sourceID=14","0.0672")</f>
        <v>0.0672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HYPERLINK("http://141.218.60.56/~jnz1568/getInfo.php?workbook=14_06.xlsx&amp;sheet=U0&amp;row=1830&amp;col=6&amp;number=3.6&amp;sourceID=14","3.6")</f>
        <v>3.6</v>
      </c>
      <c r="G1830" s="4" t="str">
        <f>HYPERLINK("http://141.218.60.56/~jnz1568/getInfo.php?workbook=14_06.xlsx&amp;sheet=U0&amp;row=1830&amp;col=7&amp;number=0.0672&amp;sourceID=14","0.0672")</f>
        <v>0.0672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HYPERLINK("http://141.218.60.56/~jnz1568/getInfo.php?workbook=14_06.xlsx&amp;sheet=U0&amp;row=1831&amp;col=6&amp;number=3.7&amp;sourceID=14","3.7")</f>
        <v>3.7</v>
      </c>
      <c r="G1831" s="4" t="str">
        <f>HYPERLINK("http://141.218.60.56/~jnz1568/getInfo.php?workbook=14_06.xlsx&amp;sheet=U0&amp;row=1831&amp;col=7&amp;number=0.0672&amp;sourceID=14","0.0672")</f>
        <v>0.0672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HYPERLINK("http://141.218.60.56/~jnz1568/getInfo.php?workbook=14_06.xlsx&amp;sheet=U0&amp;row=1832&amp;col=6&amp;number=3.8&amp;sourceID=14","3.8")</f>
        <v>3.8</v>
      </c>
      <c r="G1832" s="4" t="str">
        <f>HYPERLINK("http://141.218.60.56/~jnz1568/getInfo.php?workbook=14_06.xlsx&amp;sheet=U0&amp;row=1832&amp;col=7&amp;number=0.0671&amp;sourceID=14","0.0671")</f>
        <v>0.0671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HYPERLINK("http://141.218.60.56/~jnz1568/getInfo.php?workbook=14_06.xlsx&amp;sheet=U0&amp;row=1833&amp;col=6&amp;number=3.9&amp;sourceID=14","3.9")</f>
        <v>3.9</v>
      </c>
      <c r="G1833" s="4" t="str">
        <f>HYPERLINK("http://141.218.60.56/~jnz1568/getInfo.php?workbook=14_06.xlsx&amp;sheet=U0&amp;row=1833&amp;col=7&amp;number=0.0671&amp;sourceID=14","0.0671")</f>
        <v>0.0671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HYPERLINK("http://141.218.60.56/~jnz1568/getInfo.php?workbook=14_06.xlsx&amp;sheet=U0&amp;row=1834&amp;col=6&amp;number=4&amp;sourceID=14","4")</f>
        <v>4</v>
      </c>
      <c r="G1834" s="4" t="str">
        <f>HYPERLINK("http://141.218.60.56/~jnz1568/getInfo.php?workbook=14_06.xlsx&amp;sheet=U0&amp;row=1834&amp;col=7&amp;number=0.0671&amp;sourceID=14","0.0671")</f>
        <v>0.0671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HYPERLINK("http://141.218.60.56/~jnz1568/getInfo.php?workbook=14_06.xlsx&amp;sheet=U0&amp;row=1835&amp;col=6&amp;number=4.1&amp;sourceID=14","4.1")</f>
        <v>4.1</v>
      </c>
      <c r="G1835" s="4" t="str">
        <f>HYPERLINK("http://141.218.60.56/~jnz1568/getInfo.php?workbook=14_06.xlsx&amp;sheet=U0&amp;row=1835&amp;col=7&amp;number=0.0671&amp;sourceID=14","0.0671")</f>
        <v>0.0671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HYPERLINK("http://141.218.60.56/~jnz1568/getInfo.php?workbook=14_06.xlsx&amp;sheet=U0&amp;row=1836&amp;col=6&amp;number=4.2&amp;sourceID=14","4.2")</f>
        <v>4.2</v>
      </c>
      <c r="G1836" s="4" t="str">
        <f>HYPERLINK("http://141.218.60.56/~jnz1568/getInfo.php?workbook=14_06.xlsx&amp;sheet=U0&amp;row=1836&amp;col=7&amp;number=0.067&amp;sourceID=14","0.067")</f>
        <v>0.067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HYPERLINK("http://141.218.60.56/~jnz1568/getInfo.php?workbook=14_06.xlsx&amp;sheet=U0&amp;row=1837&amp;col=6&amp;number=4.3&amp;sourceID=14","4.3")</f>
        <v>4.3</v>
      </c>
      <c r="G1837" s="4" t="str">
        <f>HYPERLINK("http://141.218.60.56/~jnz1568/getInfo.php?workbook=14_06.xlsx&amp;sheet=U0&amp;row=1837&amp;col=7&amp;number=0.067&amp;sourceID=14","0.067")</f>
        <v>0.067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HYPERLINK("http://141.218.60.56/~jnz1568/getInfo.php?workbook=14_06.xlsx&amp;sheet=U0&amp;row=1838&amp;col=6&amp;number=4.4&amp;sourceID=14","4.4")</f>
        <v>4.4</v>
      </c>
      <c r="G1838" s="4" t="str">
        <f>HYPERLINK("http://141.218.60.56/~jnz1568/getInfo.php?workbook=14_06.xlsx&amp;sheet=U0&amp;row=1838&amp;col=7&amp;number=0.0669&amp;sourceID=14","0.0669")</f>
        <v>0.0669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HYPERLINK("http://141.218.60.56/~jnz1568/getInfo.php?workbook=14_06.xlsx&amp;sheet=U0&amp;row=1839&amp;col=6&amp;number=4.5&amp;sourceID=14","4.5")</f>
        <v>4.5</v>
      </c>
      <c r="G1839" s="4" t="str">
        <f>HYPERLINK("http://141.218.60.56/~jnz1568/getInfo.php?workbook=14_06.xlsx&amp;sheet=U0&amp;row=1839&amp;col=7&amp;number=0.0668&amp;sourceID=14","0.0668")</f>
        <v>0.0668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HYPERLINK("http://141.218.60.56/~jnz1568/getInfo.php?workbook=14_06.xlsx&amp;sheet=U0&amp;row=1840&amp;col=6&amp;number=4.6&amp;sourceID=14","4.6")</f>
        <v>4.6</v>
      </c>
      <c r="G1840" s="4" t="str">
        <f>HYPERLINK("http://141.218.60.56/~jnz1568/getInfo.php?workbook=14_06.xlsx&amp;sheet=U0&amp;row=1840&amp;col=7&amp;number=0.0667&amp;sourceID=14","0.0667")</f>
        <v>0.0667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HYPERLINK("http://141.218.60.56/~jnz1568/getInfo.php?workbook=14_06.xlsx&amp;sheet=U0&amp;row=1841&amp;col=6&amp;number=4.7&amp;sourceID=14","4.7")</f>
        <v>4.7</v>
      </c>
      <c r="G1841" s="4" t="str">
        <f>HYPERLINK("http://141.218.60.56/~jnz1568/getInfo.php?workbook=14_06.xlsx&amp;sheet=U0&amp;row=1841&amp;col=7&amp;number=0.0665&amp;sourceID=14","0.0665")</f>
        <v>0.0665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HYPERLINK("http://141.218.60.56/~jnz1568/getInfo.php?workbook=14_06.xlsx&amp;sheet=U0&amp;row=1842&amp;col=6&amp;number=4.8&amp;sourceID=14","4.8")</f>
        <v>4.8</v>
      </c>
      <c r="G1842" s="4" t="str">
        <f>HYPERLINK("http://141.218.60.56/~jnz1568/getInfo.php?workbook=14_06.xlsx&amp;sheet=U0&amp;row=1842&amp;col=7&amp;number=0.0664&amp;sourceID=14","0.0664")</f>
        <v>0.0664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HYPERLINK("http://141.218.60.56/~jnz1568/getInfo.php?workbook=14_06.xlsx&amp;sheet=U0&amp;row=1843&amp;col=6&amp;number=4.9&amp;sourceID=14","4.9")</f>
        <v>4.9</v>
      </c>
      <c r="G1843" s="4" t="str">
        <f>HYPERLINK("http://141.218.60.56/~jnz1568/getInfo.php?workbook=14_06.xlsx&amp;sheet=U0&amp;row=1843&amp;col=7&amp;number=0.0661&amp;sourceID=14","0.0661")</f>
        <v>0.0661</v>
      </c>
    </row>
    <row r="1844" spans="1:7">
      <c r="A1844" s="3">
        <v>14</v>
      </c>
      <c r="B1844" s="3">
        <v>6</v>
      </c>
      <c r="C1844" s="3">
        <v>3</v>
      </c>
      <c r="D1844" s="3">
        <v>7</v>
      </c>
      <c r="E1844" s="3">
        <v>1</v>
      </c>
      <c r="F1844" s="4" t="str">
        <f>HYPERLINK("http://141.218.60.56/~jnz1568/getInfo.php?workbook=14_06.xlsx&amp;sheet=U0&amp;row=1844&amp;col=6&amp;number=3&amp;sourceID=14","3")</f>
        <v>3</v>
      </c>
      <c r="G1844" s="4" t="str">
        <f>HYPERLINK("http://141.218.60.56/~jnz1568/getInfo.php?workbook=14_06.xlsx&amp;sheet=U0&amp;row=1844&amp;col=7&amp;number=0.143&amp;sourceID=14","0.143")</f>
        <v>0.143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HYPERLINK("http://141.218.60.56/~jnz1568/getInfo.php?workbook=14_06.xlsx&amp;sheet=U0&amp;row=1845&amp;col=6&amp;number=3.1&amp;sourceID=14","3.1")</f>
        <v>3.1</v>
      </c>
      <c r="G1845" s="4" t="str">
        <f>HYPERLINK("http://141.218.60.56/~jnz1568/getInfo.php?workbook=14_06.xlsx&amp;sheet=U0&amp;row=1845&amp;col=7&amp;number=0.143&amp;sourceID=14","0.143")</f>
        <v>0.143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HYPERLINK("http://141.218.60.56/~jnz1568/getInfo.php?workbook=14_06.xlsx&amp;sheet=U0&amp;row=1846&amp;col=6&amp;number=3.2&amp;sourceID=14","3.2")</f>
        <v>3.2</v>
      </c>
      <c r="G1846" s="4" t="str">
        <f>HYPERLINK("http://141.218.60.56/~jnz1568/getInfo.php?workbook=14_06.xlsx&amp;sheet=U0&amp;row=1846&amp;col=7&amp;number=0.143&amp;sourceID=14","0.143")</f>
        <v>0.143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HYPERLINK("http://141.218.60.56/~jnz1568/getInfo.php?workbook=14_06.xlsx&amp;sheet=U0&amp;row=1847&amp;col=6&amp;number=3.3&amp;sourceID=14","3.3")</f>
        <v>3.3</v>
      </c>
      <c r="G1847" s="4" t="str">
        <f>HYPERLINK("http://141.218.60.56/~jnz1568/getInfo.php?workbook=14_06.xlsx&amp;sheet=U0&amp;row=1847&amp;col=7&amp;number=0.143&amp;sourceID=14","0.143")</f>
        <v>0.143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HYPERLINK("http://141.218.60.56/~jnz1568/getInfo.php?workbook=14_06.xlsx&amp;sheet=U0&amp;row=1848&amp;col=6&amp;number=3.4&amp;sourceID=14","3.4")</f>
        <v>3.4</v>
      </c>
      <c r="G1848" s="4" t="str">
        <f>HYPERLINK("http://141.218.60.56/~jnz1568/getInfo.php?workbook=14_06.xlsx&amp;sheet=U0&amp;row=1848&amp;col=7&amp;number=0.143&amp;sourceID=14","0.143")</f>
        <v>0.143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HYPERLINK("http://141.218.60.56/~jnz1568/getInfo.php?workbook=14_06.xlsx&amp;sheet=U0&amp;row=1849&amp;col=6&amp;number=3.5&amp;sourceID=14","3.5")</f>
        <v>3.5</v>
      </c>
      <c r="G1849" s="4" t="str">
        <f>HYPERLINK("http://141.218.60.56/~jnz1568/getInfo.php?workbook=14_06.xlsx&amp;sheet=U0&amp;row=1849&amp;col=7&amp;number=0.143&amp;sourceID=14","0.143")</f>
        <v>0.143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HYPERLINK("http://141.218.60.56/~jnz1568/getInfo.php?workbook=14_06.xlsx&amp;sheet=U0&amp;row=1850&amp;col=6&amp;number=3.6&amp;sourceID=14","3.6")</f>
        <v>3.6</v>
      </c>
      <c r="G1850" s="4" t="str">
        <f>HYPERLINK("http://141.218.60.56/~jnz1568/getInfo.php?workbook=14_06.xlsx&amp;sheet=U0&amp;row=1850&amp;col=7&amp;number=0.143&amp;sourceID=14","0.143")</f>
        <v>0.143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HYPERLINK("http://141.218.60.56/~jnz1568/getInfo.php?workbook=14_06.xlsx&amp;sheet=U0&amp;row=1851&amp;col=6&amp;number=3.7&amp;sourceID=14","3.7")</f>
        <v>3.7</v>
      </c>
      <c r="G1851" s="4" t="str">
        <f>HYPERLINK("http://141.218.60.56/~jnz1568/getInfo.php?workbook=14_06.xlsx&amp;sheet=U0&amp;row=1851&amp;col=7&amp;number=0.143&amp;sourceID=14","0.143")</f>
        <v>0.143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HYPERLINK("http://141.218.60.56/~jnz1568/getInfo.php?workbook=14_06.xlsx&amp;sheet=U0&amp;row=1852&amp;col=6&amp;number=3.8&amp;sourceID=14","3.8")</f>
        <v>3.8</v>
      </c>
      <c r="G1852" s="4" t="str">
        <f>HYPERLINK("http://141.218.60.56/~jnz1568/getInfo.php?workbook=14_06.xlsx&amp;sheet=U0&amp;row=1852&amp;col=7&amp;number=0.143&amp;sourceID=14","0.143")</f>
        <v>0.143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HYPERLINK("http://141.218.60.56/~jnz1568/getInfo.php?workbook=14_06.xlsx&amp;sheet=U0&amp;row=1853&amp;col=6&amp;number=3.9&amp;sourceID=14","3.9")</f>
        <v>3.9</v>
      </c>
      <c r="G1853" s="4" t="str">
        <f>HYPERLINK("http://141.218.60.56/~jnz1568/getInfo.php?workbook=14_06.xlsx&amp;sheet=U0&amp;row=1853&amp;col=7&amp;number=0.143&amp;sourceID=14","0.143")</f>
        <v>0.143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HYPERLINK("http://141.218.60.56/~jnz1568/getInfo.php?workbook=14_06.xlsx&amp;sheet=U0&amp;row=1854&amp;col=6&amp;number=4&amp;sourceID=14","4")</f>
        <v>4</v>
      </c>
      <c r="G1854" s="4" t="str">
        <f>HYPERLINK("http://141.218.60.56/~jnz1568/getInfo.php?workbook=14_06.xlsx&amp;sheet=U0&amp;row=1854&amp;col=7&amp;number=0.143&amp;sourceID=14","0.143")</f>
        <v>0.143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HYPERLINK("http://141.218.60.56/~jnz1568/getInfo.php?workbook=14_06.xlsx&amp;sheet=U0&amp;row=1855&amp;col=6&amp;number=4.1&amp;sourceID=14","4.1")</f>
        <v>4.1</v>
      </c>
      <c r="G1855" s="4" t="str">
        <f>HYPERLINK("http://141.218.60.56/~jnz1568/getInfo.php?workbook=14_06.xlsx&amp;sheet=U0&amp;row=1855&amp;col=7&amp;number=0.144&amp;sourceID=14","0.144")</f>
        <v>0.144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HYPERLINK("http://141.218.60.56/~jnz1568/getInfo.php?workbook=14_06.xlsx&amp;sheet=U0&amp;row=1856&amp;col=6&amp;number=4.2&amp;sourceID=14","4.2")</f>
        <v>4.2</v>
      </c>
      <c r="G1856" s="4" t="str">
        <f>HYPERLINK("http://141.218.60.56/~jnz1568/getInfo.php?workbook=14_06.xlsx&amp;sheet=U0&amp;row=1856&amp;col=7&amp;number=0.144&amp;sourceID=14","0.144")</f>
        <v>0.144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HYPERLINK("http://141.218.60.56/~jnz1568/getInfo.php?workbook=14_06.xlsx&amp;sheet=U0&amp;row=1857&amp;col=6&amp;number=4.3&amp;sourceID=14","4.3")</f>
        <v>4.3</v>
      </c>
      <c r="G1857" s="4" t="str">
        <f>HYPERLINK("http://141.218.60.56/~jnz1568/getInfo.php?workbook=14_06.xlsx&amp;sheet=U0&amp;row=1857&amp;col=7&amp;number=0.144&amp;sourceID=14","0.144")</f>
        <v>0.144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HYPERLINK("http://141.218.60.56/~jnz1568/getInfo.php?workbook=14_06.xlsx&amp;sheet=U0&amp;row=1858&amp;col=6&amp;number=4.4&amp;sourceID=14","4.4")</f>
        <v>4.4</v>
      </c>
      <c r="G1858" s="4" t="str">
        <f>HYPERLINK("http://141.218.60.56/~jnz1568/getInfo.php?workbook=14_06.xlsx&amp;sheet=U0&amp;row=1858&amp;col=7&amp;number=0.145&amp;sourceID=14","0.145")</f>
        <v>0.145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HYPERLINK("http://141.218.60.56/~jnz1568/getInfo.php?workbook=14_06.xlsx&amp;sheet=U0&amp;row=1859&amp;col=6&amp;number=4.5&amp;sourceID=14","4.5")</f>
        <v>4.5</v>
      </c>
      <c r="G1859" s="4" t="str">
        <f>HYPERLINK("http://141.218.60.56/~jnz1568/getInfo.php?workbook=14_06.xlsx&amp;sheet=U0&amp;row=1859&amp;col=7&amp;number=0.145&amp;sourceID=14","0.145")</f>
        <v>0.145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HYPERLINK("http://141.218.60.56/~jnz1568/getInfo.php?workbook=14_06.xlsx&amp;sheet=U0&amp;row=1860&amp;col=6&amp;number=4.6&amp;sourceID=14","4.6")</f>
        <v>4.6</v>
      </c>
      <c r="G1860" s="4" t="str">
        <f>HYPERLINK("http://141.218.60.56/~jnz1568/getInfo.php?workbook=14_06.xlsx&amp;sheet=U0&amp;row=1860&amp;col=7&amp;number=0.146&amp;sourceID=14","0.146")</f>
        <v>0.146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HYPERLINK("http://141.218.60.56/~jnz1568/getInfo.php?workbook=14_06.xlsx&amp;sheet=U0&amp;row=1861&amp;col=6&amp;number=4.7&amp;sourceID=14","4.7")</f>
        <v>4.7</v>
      </c>
      <c r="G1861" s="4" t="str">
        <f>HYPERLINK("http://141.218.60.56/~jnz1568/getInfo.php?workbook=14_06.xlsx&amp;sheet=U0&amp;row=1861&amp;col=7&amp;number=0.146&amp;sourceID=14","0.146")</f>
        <v>0.146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HYPERLINK("http://141.218.60.56/~jnz1568/getInfo.php?workbook=14_06.xlsx&amp;sheet=U0&amp;row=1862&amp;col=6&amp;number=4.8&amp;sourceID=14","4.8")</f>
        <v>4.8</v>
      </c>
      <c r="G1862" s="4" t="str">
        <f>HYPERLINK("http://141.218.60.56/~jnz1568/getInfo.php?workbook=14_06.xlsx&amp;sheet=U0&amp;row=1862&amp;col=7&amp;number=0.147&amp;sourceID=14","0.147")</f>
        <v>0.147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HYPERLINK("http://141.218.60.56/~jnz1568/getInfo.php?workbook=14_06.xlsx&amp;sheet=U0&amp;row=1863&amp;col=6&amp;number=4.9&amp;sourceID=14","4.9")</f>
        <v>4.9</v>
      </c>
      <c r="G1863" s="4" t="str">
        <f>HYPERLINK("http://141.218.60.56/~jnz1568/getInfo.php?workbook=14_06.xlsx&amp;sheet=U0&amp;row=1863&amp;col=7&amp;number=0.149&amp;sourceID=14","0.149")</f>
        <v>0.149</v>
      </c>
    </row>
    <row r="1864" spans="1:7">
      <c r="A1864" s="3">
        <v>14</v>
      </c>
      <c r="B1864" s="3">
        <v>6</v>
      </c>
      <c r="C1864" s="3">
        <v>3</v>
      </c>
      <c r="D1864" s="3">
        <v>8</v>
      </c>
      <c r="E1864" s="3">
        <v>1</v>
      </c>
      <c r="F1864" s="4" t="str">
        <f>HYPERLINK("http://141.218.60.56/~jnz1568/getInfo.php?workbook=14_06.xlsx&amp;sheet=U0&amp;row=1864&amp;col=6&amp;number=3&amp;sourceID=14","3")</f>
        <v>3</v>
      </c>
      <c r="G1864" s="4" t="str">
        <f>HYPERLINK("http://141.218.60.56/~jnz1568/getInfo.php?workbook=14_06.xlsx&amp;sheet=U0&amp;row=1864&amp;col=7&amp;number=0.00892&amp;sourceID=14","0.00892")</f>
        <v>0.00892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HYPERLINK("http://141.218.60.56/~jnz1568/getInfo.php?workbook=14_06.xlsx&amp;sheet=U0&amp;row=1865&amp;col=6&amp;number=3.1&amp;sourceID=14","3.1")</f>
        <v>3.1</v>
      </c>
      <c r="G1865" s="4" t="str">
        <f>HYPERLINK("http://141.218.60.56/~jnz1568/getInfo.php?workbook=14_06.xlsx&amp;sheet=U0&amp;row=1865&amp;col=7&amp;number=0.00893&amp;sourceID=14","0.00893")</f>
        <v>0.00893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HYPERLINK("http://141.218.60.56/~jnz1568/getInfo.php?workbook=14_06.xlsx&amp;sheet=U0&amp;row=1866&amp;col=6&amp;number=3.2&amp;sourceID=14","3.2")</f>
        <v>3.2</v>
      </c>
      <c r="G1866" s="4" t="str">
        <f>HYPERLINK("http://141.218.60.56/~jnz1568/getInfo.php?workbook=14_06.xlsx&amp;sheet=U0&amp;row=1866&amp;col=7&amp;number=0.00893&amp;sourceID=14","0.00893")</f>
        <v>0.00893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HYPERLINK("http://141.218.60.56/~jnz1568/getInfo.php?workbook=14_06.xlsx&amp;sheet=U0&amp;row=1867&amp;col=6&amp;number=3.3&amp;sourceID=14","3.3")</f>
        <v>3.3</v>
      </c>
      <c r="G1867" s="4" t="str">
        <f>HYPERLINK("http://141.218.60.56/~jnz1568/getInfo.php?workbook=14_06.xlsx&amp;sheet=U0&amp;row=1867&amp;col=7&amp;number=0.00893&amp;sourceID=14","0.00893")</f>
        <v>0.00893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HYPERLINK("http://141.218.60.56/~jnz1568/getInfo.php?workbook=14_06.xlsx&amp;sheet=U0&amp;row=1868&amp;col=6&amp;number=3.4&amp;sourceID=14","3.4")</f>
        <v>3.4</v>
      </c>
      <c r="G1868" s="4" t="str">
        <f>HYPERLINK("http://141.218.60.56/~jnz1568/getInfo.php?workbook=14_06.xlsx&amp;sheet=U0&amp;row=1868&amp;col=7&amp;number=0.00893&amp;sourceID=14","0.00893")</f>
        <v>0.00893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HYPERLINK("http://141.218.60.56/~jnz1568/getInfo.php?workbook=14_06.xlsx&amp;sheet=U0&amp;row=1869&amp;col=6&amp;number=3.5&amp;sourceID=14","3.5")</f>
        <v>3.5</v>
      </c>
      <c r="G1869" s="4" t="str">
        <f>HYPERLINK("http://141.218.60.56/~jnz1568/getInfo.php?workbook=14_06.xlsx&amp;sheet=U0&amp;row=1869&amp;col=7&amp;number=0.00893&amp;sourceID=14","0.00893")</f>
        <v>0.00893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HYPERLINK("http://141.218.60.56/~jnz1568/getInfo.php?workbook=14_06.xlsx&amp;sheet=U0&amp;row=1870&amp;col=6&amp;number=3.6&amp;sourceID=14","3.6")</f>
        <v>3.6</v>
      </c>
      <c r="G1870" s="4" t="str">
        <f>HYPERLINK("http://141.218.60.56/~jnz1568/getInfo.php?workbook=14_06.xlsx&amp;sheet=U0&amp;row=1870&amp;col=7&amp;number=0.00894&amp;sourceID=14","0.00894")</f>
        <v>0.00894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HYPERLINK("http://141.218.60.56/~jnz1568/getInfo.php?workbook=14_06.xlsx&amp;sheet=U0&amp;row=1871&amp;col=6&amp;number=3.7&amp;sourceID=14","3.7")</f>
        <v>3.7</v>
      </c>
      <c r="G1871" s="4" t="str">
        <f>HYPERLINK("http://141.218.60.56/~jnz1568/getInfo.php?workbook=14_06.xlsx&amp;sheet=U0&amp;row=1871&amp;col=7&amp;number=0.00894&amp;sourceID=14","0.00894")</f>
        <v>0.00894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HYPERLINK("http://141.218.60.56/~jnz1568/getInfo.php?workbook=14_06.xlsx&amp;sheet=U0&amp;row=1872&amp;col=6&amp;number=3.8&amp;sourceID=14","3.8")</f>
        <v>3.8</v>
      </c>
      <c r="G1872" s="4" t="str">
        <f>HYPERLINK("http://141.218.60.56/~jnz1568/getInfo.php?workbook=14_06.xlsx&amp;sheet=U0&amp;row=1872&amp;col=7&amp;number=0.00895&amp;sourceID=14","0.00895")</f>
        <v>0.00895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HYPERLINK("http://141.218.60.56/~jnz1568/getInfo.php?workbook=14_06.xlsx&amp;sheet=U0&amp;row=1873&amp;col=6&amp;number=3.9&amp;sourceID=14","3.9")</f>
        <v>3.9</v>
      </c>
      <c r="G1873" s="4" t="str">
        <f>HYPERLINK("http://141.218.60.56/~jnz1568/getInfo.php?workbook=14_06.xlsx&amp;sheet=U0&amp;row=1873&amp;col=7&amp;number=0.00895&amp;sourceID=14","0.00895")</f>
        <v>0.00895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HYPERLINK("http://141.218.60.56/~jnz1568/getInfo.php?workbook=14_06.xlsx&amp;sheet=U0&amp;row=1874&amp;col=6&amp;number=4&amp;sourceID=14","4")</f>
        <v>4</v>
      </c>
      <c r="G1874" s="4" t="str">
        <f>HYPERLINK("http://141.218.60.56/~jnz1568/getInfo.php?workbook=14_06.xlsx&amp;sheet=U0&amp;row=1874&amp;col=7&amp;number=0.00896&amp;sourceID=14","0.00896")</f>
        <v>0.00896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HYPERLINK("http://141.218.60.56/~jnz1568/getInfo.php?workbook=14_06.xlsx&amp;sheet=U0&amp;row=1875&amp;col=6&amp;number=4.1&amp;sourceID=14","4.1")</f>
        <v>4.1</v>
      </c>
      <c r="G1875" s="4" t="str">
        <f>HYPERLINK("http://141.218.60.56/~jnz1568/getInfo.php?workbook=14_06.xlsx&amp;sheet=U0&amp;row=1875&amp;col=7&amp;number=0.00898&amp;sourceID=14","0.00898")</f>
        <v>0.00898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HYPERLINK("http://141.218.60.56/~jnz1568/getInfo.php?workbook=14_06.xlsx&amp;sheet=U0&amp;row=1876&amp;col=6&amp;number=4.2&amp;sourceID=14","4.2")</f>
        <v>4.2</v>
      </c>
      <c r="G1876" s="4" t="str">
        <f>HYPERLINK("http://141.218.60.56/~jnz1568/getInfo.php?workbook=14_06.xlsx&amp;sheet=U0&amp;row=1876&amp;col=7&amp;number=0.00899&amp;sourceID=14","0.00899")</f>
        <v>0.00899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HYPERLINK("http://141.218.60.56/~jnz1568/getInfo.php?workbook=14_06.xlsx&amp;sheet=U0&amp;row=1877&amp;col=6&amp;number=4.3&amp;sourceID=14","4.3")</f>
        <v>4.3</v>
      </c>
      <c r="G1877" s="4" t="str">
        <f>HYPERLINK("http://141.218.60.56/~jnz1568/getInfo.php?workbook=14_06.xlsx&amp;sheet=U0&amp;row=1877&amp;col=7&amp;number=0.00901&amp;sourceID=14","0.00901")</f>
        <v>0.00901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HYPERLINK("http://141.218.60.56/~jnz1568/getInfo.php?workbook=14_06.xlsx&amp;sheet=U0&amp;row=1878&amp;col=6&amp;number=4.4&amp;sourceID=14","4.4")</f>
        <v>4.4</v>
      </c>
      <c r="G1878" s="4" t="str">
        <f>HYPERLINK("http://141.218.60.56/~jnz1568/getInfo.php?workbook=14_06.xlsx&amp;sheet=U0&amp;row=1878&amp;col=7&amp;number=0.00903&amp;sourceID=14","0.00903")</f>
        <v>0.00903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HYPERLINK("http://141.218.60.56/~jnz1568/getInfo.php?workbook=14_06.xlsx&amp;sheet=U0&amp;row=1879&amp;col=6&amp;number=4.5&amp;sourceID=14","4.5")</f>
        <v>4.5</v>
      </c>
      <c r="G1879" s="4" t="str">
        <f>HYPERLINK("http://141.218.60.56/~jnz1568/getInfo.php?workbook=14_06.xlsx&amp;sheet=U0&amp;row=1879&amp;col=7&amp;number=0.00906&amp;sourceID=14","0.00906")</f>
        <v>0.00906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HYPERLINK("http://141.218.60.56/~jnz1568/getInfo.php?workbook=14_06.xlsx&amp;sheet=U0&amp;row=1880&amp;col=6&amp;number=4.6&amp;sourceID=14","4.6")</f>
        <v>4.6</v>
      </c>
      <c r="G1880" s="4" t="str">
        <f>HYPERLINK("http://141.218.60.56/~jnz1568/getInfo.php?workbook=14_06.xlsx&amp;sheet=U0&amp;row=1880&amp;col=7&amp;number=0.00909&amp;sourceID=14","0.00909")</f>
        <v>0.00909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HYPERLINK("http://141.218.60.56/~jnz1568/getInfo.php?workbook=14_06.xlsx&amp;sheet=U0&amp;row=1881&amp;col=6&amp;number=4.7&amp;sourceID=14","4.7")</f>
        <v>4.7</v>
      </c>
      <c r="G1881" s="4" t="str">
        <f>HYPERLINK("http://141.218.60.56/~jnz1568/getInfo.php?workbook=14_06.xlsx&amp;sheet=U0&amp;row=1881&amp;col=7&amp;number=0.00913&amp;sourceID=14","0.00913")</f>
        <v>0.00913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HYPERLINK("http://141.218.60.56/~jnz1568/getInfo.php?workbook=14_06.xlsx&amp;sheet=U0&amp;row=1882&amp;col=6&amp;number=4.8&amp;sourceID=14","4.8")</f>
        <v>4.8</v>
      </c>
      <c r="G1882" s="4" t="str">
        <f>HYPERLINK("http://141.218.60.56/~jnz1568/getInfo.php?workbook=14_06.xlsx&amp;sheet=U0&amp;row=1882&amp;col=7&amp;number=0.00919&amp;sourceID=14","0.00919")</f>
        <v>0.00919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HYPERLINK("http://141.218.60.56/~jnz1568/getInfo.php?workbook=14_06.xlsx&amp;sheet=U0&amp;row=1883&amp;col=6&amp;number=4.9&amp;sourceID=14","4.9")</f>
        <v>4.9</v>
      </c>
      <c r="G1883" s="4" t="str">
        <f>HYPERLINK("http://141.218.60.56/~jnz1568/getInfo.php?workbook=14_06.xlsx&amp;sheet=U0&amp;row=1883&amp;col=7&amp;number=0.00925&amp;sourceID=14","0.00925")</f>
        <v>0.00925</v>
      </c>
    </row>
    <row r="1884" spans="1:7">
      <c r="A1884" s="3">
        <v>14</v>
      </c>
      <c r="B1884" s="3">
        <v>6</v>
      </c>
      <c r="C1884" s="3">
        <v>3</v>
      </c>
      <c r="D1884" s="3">
        <v>9</v>
      </c>
      <c r="E1884" s="3">
        <v>1</v>
      </c>
      <c r="F1884" s="4" t="str">
        <f>HYPERLINK("http://141.218.60.56/~jnz1568/getInfo.php?workbook=14_06.xlsx&amp;sheet=U0&amp;row=1884&amp;col=6&amp;number=3&amp;sourceID=14","3")</f>
        <v>3</v>
      </c>
      <c r="G1884" s="4" t="str">
        <f>HYPERLINK("http://141.218.60.56/~jnz1568/getInfo.php?workbook=14_06.xlsx&amp;sheet=U0&amp;row=1884&amp;col=7&amp;number=1.06&amp;sourceID=14","1.06")</f>
        <v>1.06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HYPERLINK("http://141.218.60.56/~jnz1568/getInfo.php?workbook=14_06.xlsx&amp;sheet=U0&amp;row=1885&amp;col=6&amp;number=3.1&amp;sourceID=14","3.1")</f>
        <v>3.1</v>
      </c>
      <c r="G1885" s="4" t="str">
        <f>HYPERLINK("http://141.218.60.56/~jnz1568/getInfo.php?workbook=14_06.xlsx&amp;sheet=U0&amp;row=1885&amp;col=7&amp;number=1.06&amp;sourceID=14","1.06")</f>
        <v>1.06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HYPERLINK("http://141.218.60.56/~jnz1568/getInfo.php?workbook=14_06.xlsx&amp;sheet=U0&amp;row=1886&amp;col=6&amp;number=3.2&amp;sourceID=14","3.2")</f>
        <v>3.2</v>
      </c>
      <c r="G1886" s="4" t="str">
        <f>HYPERLINK("http://141.218.60.56/~jnz1568/getInfo.php?workbook=14_06.xlsx&amp;sheet=U0&amp;row=1886&amp;col=7&amp;number=1.06&amp;sourceID=14","1.06")</f>
        <v>1.06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HYPERLINK("http://141.218.60.56/~jnz1568/getInfo.php?workbook=14_06.xlsx&amp;sheet=U0&amp;row=1887&amp;col=6&amp;number=3.3&amp;sourceID=14","3.3")</f>
        <v>3.3</v>
      </c>
      <c r="G1887" s="4" t="str">
        <f>HYPERLINK("http://141.218.60.56/~jnz1568/getInfo.php?workbook=14_06.xlsx&amp;sheet=U0&amp;row=1887&amp;col=7&amp;number=1.06&amp;sourceID=14","1.06")</f>
        <v>1.06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HYPERLINK("http://141.218.60.56/~jnz1568/getInfo.php?workbook=14_06.xlsx&amp;sheet=U0&amp;row=1888&amp;col=6&amp;number=3.4&amp;sourceID=14","3.4")</f>
        <v>3.4</v>
      </c>
      <c r="G1888" s="4" t="str">
        <f>HYPERLINK("http://141.218.60.56/~jnz1568/getInfo.php?workbook=14_06.xlsx&amp;sheet=U0&amp;row=1888&amp;col=7&amp;number=1.06&amp;sourceID=14","1.06")</f>
        <v>1.06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HYPERLINK("http://141.218.60.56/~jnz1568/getInfo.php?workbook=14_06.xlsx&amp;sheet=U0&amp;row=1889&amp;col=6&amp;number=3.5&amp;sourceID=14","3.5")</f>
        <v>3.5</v>
      </c>
      <c r="G1889" s="4" t="str">
        <f>HYPERLINK("http://141.218.60.56/~jnz1568/getInfo.php?workbook=14_06.xlsx&amp;sheet=U0&amp;row=1889&amp;col=7&amp;number=1.06&amp;sourceID=14","1.06")</f>
        <v>1.06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HYPERLINK("http://141.218.60.56/~jnz1568/getInfo.php?workbook=14_06.xlsx&amp;sheet=U0&amp;row=1890&amp;col=6&amp;number=3.6&amp;sourceID=14","3.6")</f>
        <v>3.6</v>
      </c>
      <c r="G1890" s="4" t="str">
        <f>HYPERLINK("http://141.218.60.56/~jnz1568/getInfo.php?workbook=14_06.xlsx&amp;sheet=U0&amp;row=1890&amp;col=7&amp;number=1.06&amp;sourceID=14","1.06")</f>
        <v>1.06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HYPERLINK("http://141.218.60.56/~jnz1568/getInfo.php?workbook=14_06.xlsx&amp;sheet=U0&amp;row=1891&amp;col=6&amp;number=3.7&amp;sourceID=14","3.7")</f>
        <v>3.7</v>
      </c>
      <c r="G1891" s="4" t="str">
        <f>HYPERLINK("http://141.218.60.56/~jnz1568/getInfo.php?workbook=14_06.xlsx&amp;sheet=U0&amp;row=1891&amp;col=7&amp;number=1.06&amp;sourceID=14","1.06")</f>
        <v>1.06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HYPERLINK("http://141.218.60.56/~jnz1568/getInfo.php?workbook=14_06.xlsx&amp;sheet=U0&amp;row=1892&amp;col=6&amp;number=3.8&amp;sourceID=14","3.8")</f>
        <v>3.8</v>
      </c>
      <c r="G1892" s="4" t="str">
        <f>HYPERLINK("http://141.218.60.56/~jnz1568/getInfo.php?workbook=14_06.xlsx&amp;sheet=U0&amp;row=1892&amp;col=7&amp;number=1.06&amp;sourceID=14","1.06")</f>
        <v>1.06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HYPERLINK("http://141.218.60.56/~jnz1568/getInfo.php?workbook=14_06.xlsx&amp;sheet=U0&amp;row=1893&amp;col=6&amp;number=3.9&amp;sourceID=14","3.9")</f>
        <v>3.9</v>
      </c>
      <c r="G1893" s="4" t="str">
        <f>HYPERLINK("http://141.218.60.56/~jnz1568/getInfo.php?workbook=14_06.xlsx&amp;sheet=U0&amp;row=1893&amp;col=7&amp;number=1.06&amp;sourceID=14","1.06")</f>
        <v>1.06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HYPERLINK("http://141.218.60.56/~jnz1568/getInfo.php?workbook=14_06.xlsx&amp;sheet=U0&amp;row=1894&amp;col=6&amp;number=4&amp;sourceID=14","4")</f>
        <v>4</v>
      </c>
      <c r="G1894" s="4" t="str">
        <f>HYPERLINK("http://141.218.60.56/~jnz1568/getInfo.php?workbook=14_06.xlsx&amp;sheet=U0&amp;row=1894&amp;col=7&amp;number=1.06&amp;sourceID=14","1.06")</f>
        <v>1.06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HYPERLINK("http://141.218.60.56/~jnz1568/getInfo.php?workbook=14_06.xlsx&amp;sheet=U0&amp;row=1895&amp;col=6&amp;number=4.1&amp;sourceID=14","4.1")</f>
        <v>4.1</v>
      </c>
      <c r="G1895" s="4" t="str">
        <f>HYPERLINK("http://141.218.60.56/~jnz1568/getInfo.php?workbook=14_06.xlsx&amp;sheet=U0&amp;row=1895&amp;col=7&amp;number=1.07&amp;sourceID=14","1.07")</f>
        <v>1.07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HYPERLINK("http://141.218.60.56/~jnz1568/getInfo.php?workbook=14_06.xlsx&amp;sheet=U0&amp;row=1896&amp;col=6&amp;number=4.2&amp;sourceID=14","4.2")</f>
        <v>4.2</v>
      </c>
      <c r="G1896" s="4" t="str">
        <f>HYPERLINK("http://141.218.60.56/~jnz1568/getInfo.php?workbook=14_06.xlsx&amp;sheet=U0&amp;row=1896&amp;col=7&amp;number=1.07&amp;sourceID=14","1.07")</f>
        <v>1.07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HYPERLINK("http://141.218.60.56/~jnz1568/getInfo.php?workbook=14_06.xlsx&amp;sheet=U0&amp;row=1897&amp;col=6&amp;number=4.3&amp;sourceID=14","4.3")</f>
        <v>4.3</v>
      </c>
      <c r="G1897" s="4" t="str">
        <f>HYPERLINK("http://141.218.60.56/~jnz1568/getInfo.php?workbook=14_06.xlsx&amp;sheet=U0&amp;row=1897&amp;col=7&amp;number=1.07&amp;sourceID=14","1.07")</f>
        <v>1.07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HYPERLINK("http://141.218.60.56/~jnz1568/getInfo.php?workbook=14_06.xlsx&amp;sheet=U0&amp;row=1898&amp;col=6&amp;number=4.4&amp;sourceID=14","4.4")</f>
        <v>4.4</v>
      </c>
      <c r="G1898" s="4" t="str">
        <f>HYPERLINK("http://141.218.60.56/~jnz1568/getInfo.php?workbook=14_06.xlsx&amp;sheet=U0&amp;row=1898&amp;col=7&amp;number=1.07&amp;sourceID=14","1.07")</f>
        <v>1.07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HYPERLINK("http://141.218.60.56/~jnz1568/getInfo.php?workbook=14_06.xlsx&amp;sheet=U0&amp;row=1899&amp;col=6&amp;number=4.5&amp;sourceID=14","4.5")</f>
        <v>4.5</v>
      </c>
      <c r="G1899" s="4" t="str">
        <f>HYPERLINK("http://141.218.60.56/~jnz1568/getInfo.php?workbook=14_06.xlsx&amp;sheet=U0&amp;row=1899&amp;col=7&amp;number=1.08&amp;sourceID=14","1.08")</f>
        <v>1.08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HYPERLINK("http://141.218.60.56/~jnz1568/getInfo.php?workbook=14_06.xlsx&amp;sheet=U0&amp;row=1900&amp;col=6&amp;number=4.6&amp;sourceID=14","4.6")</f>
        <v>4.6</v>
      </c>
      <c r="G1900" s="4" t="str">
        <f>HYPERLINK("http://141.218.60.56/~jnz1568/getInfo.php?workbook=14_06.xlsx&amp;sheet=U0&amp;row=1900&amp;col=7&amp;number=1.08&amp;sourceID=14","1.08")</f>
        <v>1.08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HYPERLINK("http://141.218.60.56/~jnz1568/getInfo.php?workbook=14_06.xlsx&amp;sheet=U0&amp;row=1901&amp;col=6&amp;number=4.7&amp;sourceID=14","4.7")</f>
        <v>4.7</v>
      </c>
      <c r="G1901" s="4" t="str">
        <f>HYPERLINK("http://141.218.60.56/~jnz1568/getInfo.php?workbook=14_06.xlsx&amp;sheet=U0&amp;row=1901&amp;col=7&amp;number=1.09&amp;sourceID=14","1.09")</f>
        <v>1.09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HYPERLINK("http://141.218.60.56/~jnz1568/getInfo.php?workbook=14_06.xlsx&amp;sheet=U0&amp;row=1902&amp;col=6&amp;number=4.8&amp;sourceID=14","4.8")</f>
        <v>4.8</v>
      </c>
      <c r="G1902" s="4" t="str">
        <f>HYPERLINK("http://141.218.60.56/~jnz1568/getInfo.php?workbook=14_06.xlsx&amp;sheet=U0&amp;row=1902&amp;col=7&amp;number=1.1&amp;sourceID=14","1.1")</f>
        <v>1.1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HYPERLINK("http://141.218.60.56/~jnz1568/getInfo.php?workbook=14_06.xlsx&amp;sheet=U0&amp;row=1903&amp;col=6&amp;number=4.9&amp;sourceID=14","4.9")</f>
        <v>4.9</v>
      </c>
      <c r="G1903" s="4" t="str">
        <f>HYPERLINK("http://141.218.60.56/~jnz1568/getInfo.php?workbook=14_06.xlsx&amp;sheet=U0&amp;row=1903&amp;col=7&amp;number=1.11&amp;sourceID=14","1.11")</f>
        <v>1.11</v>
      </c>
    </row>
    <row r="1904" spans="1:7">
      <c r="A1904" s="3">
        <v>14</v>
      </c>
      <c r="B1904" s="3">
        <v>6</v>
      </c>
      <c r="C1904" s="3">
        <v>3</v>
      </c>
      <c r="D1904" s="3">
        <v>10</v>
      </c>
      <c r="E1904" s="3">
        <v>1</v>
      </c>
      <c r="F1904" s="4" t="str">
        <f>HYPERLINK("http://141.218.60.56/~jnz1568/getInfo.php?workbook=14_06.xlsx&amp;sheet=U0&amp;row=1904&amp;col=6&amp;number=3&amp;sourceID=14","3")</f>
        <v>3</v>
      </c>
      <c r="G1904" s="4" t="str">
        <f>HYPERLINK("http://141.218.60.56/~jnz1568/getInfo.php?workbook=14_06.xlsx&amp;sheet=U0&amp;row=1904&amp;col=7&amp;number=0.00297&amp;sourceID=14","0.00297")</f>
        <v>0.00297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HYPERLINK("http://141.218.60.56/~jnz1568/getInfo.php?workbook=14_06.xlsx&amp;sheet=U0&amp;row=1905&amp;col=6&amp;number=3.1&amp;sourceID=14","3.1")</f>
        <v>3.1</v>
      </c>
      <c r="G1905" s="4" t="str">
        <f>HYPERLINK("http://141.218.60.56/~jnz1568/getInfo.php?workbook=14_06.xlsx&amp;sheet=U0&amp;row=1905&amp;col=7&amp;number=0.00297&amp;sourceID=14","0.00297")</f>
        <v>0.00297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HYPERLINK("http://141.218.60.56/~jnz1568/getInfo.php?workbook=14_06.xlsx&amp;sheet=U0&amp;row=1906&amp;col=6&amp;number=3.2&amp;sourceID=14","3.2")</f>
        <v>3.2</v>
      </c>
      <c r="G1906" s="4" t="str">
        <f>HYPERLINK("http://141.218.60.56/~jnz1568/getInfo.php?workbook=14_06.xlsx&amp;sheet=U0&amp;row=1906&amp;col=7&amp;number=0.00297&amp;sourceID=14","0.00297")</f>
        <v>0.00297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HYPERLINK("http://141.218.60.56/~jnz1568/getInfo.php?workbook=14_06.xlsx&amp;sheet=U0&amp;row=1907&amp;col=6&amp;number=3.3&amp;sourceID=14","3.3")</f>
        <v>3.3</v>
      </c>
      <c r="G1907" s="4" t="str">
        <f>HYPERLINK("http://141.218.60.56/~jnz1568/getInfo.php?workbook=14_06.xlsx&amp;sheet=U0&amp;row=1907&amp;col=7&amp;number=0.00297&amp;sourceID=14","0.00297")</f>
        <v>0.00297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HYPERLINK("http://141.218.60.56/~jnz1568/getInfo.php?workbook=14_06.xlsx&amp;sheet=U0&amp;row=1908&amp;col=6&amp;number=3.4&amp;sourceID=14","3.4")</f>
        <v>3.4</v>
      </c>
      <c r="G1908" s="4" t="str">
        <f>HYPERLINK("http://141.218.60.56/~jnz1568/getInfo.php?workbook=14_06.xlsx&amp;sheet=U0&amp;row=1908&amp;col=7&amp;number=0.00297&amp;sourceID=14","0.00297")</f>
        <v>0.00297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HYPERLINK("http://141.218.60.56/~jnz1568/getInfo.php?workbook=14_06.xlsx&amp;sheet=U0&amp;row=1909&amp;col=6&amp;number=3.5&amp;sourceID=14","3.5")</f>
        <v>3.5</v>
      </c>
      <c r="G1909" s="4" t="str">
        <f>HYPERLINK("http://141.218.60.56/~jnz1568/getInfo.php?workbook=14_06.xlsx&amp;sheet=U0&amp;row=1909&amp;col=7&amp;number=0.00297&amp;sourceID=14","0.00297")</f>
        <v>0.00297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HYPERLINK("http://141.218.60.56/~jnz1568/getInfo.php?workbook=14_06.xlsx&amp;sheet=U0&amp;row=1910&amp;col=6&amp;number=3.6&amp;sourceID=14","3.6")</f>
        <v>3.6</v>
      </c>
      <c r="G1910" s="4" t="str">
        <f>HYPERLINK("http://141.218.60.56/~jnz1568/getInfo.php?workbook=14_06.xlsx&amp;sheet=U0&amp;row=1910&amp;col=7&amp;number=0.00297&amp;sourceID=14","0.00297")</f>
        <v>0.00297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HYPERLINK("http://141.218.60.56/~jnz1568/getInfo.php?workbook=14_06.xlsx&amp;sheet=U0&amp;row=1911&amp;col=6&amp;number=3.7&amp;sourceID=14","3.7")</f>
        <v>3.7</v>
      </c>
      <c r="G1911" s="4" t="str">
        <f>HYPERLINK("http://141.218.60.56/~jnz1568/getInfo.php?workbook=14_06.xlsx&amp;sheet=U0&amp;row=1911&amp;col=7&amp;number=0.00297&amp;sourceID=14","0.00297")</f>
        <v>0.00297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HYPERLINK("http://141.218.60.56/~jnz1568/getInfo.php?workbook=14_06.xlsx&amp;sheet=U0&amp;row=1912&amp;col=6&amp;number=3.8&amp;sourceID=14","3.8")</f>
        <v>3.8</v>
      </c>
      <c r="G1912" s="4" t="str">
        <f>HYPERLINK("http://141.218.60.56/~jnz1568/getInfo.php?workbook=14_06.xlsx&amp;sheet=U0&amp;row=1912&amp;col=7&amp;number=0.00297&amp;sourceID=14","0.00297")</f>
        <v>0.00297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HYPERLINK("http://141.218.60.56/~jnz1568/getInfo.php?workbook=14_06.xlsx&amp;sheet=U0&amp;row=1913&amp;col=6&amp;number=3.9&amp;sourceID=14","3.9")</f>
        <v>3.9</v>
      </c>
      <c r="G1913" s="4" t="str">
        <f>HYPERLINK("http://141.218.60.56/~jnz1568/getInfo.php?workbook=14_06.xlsx&amp;sheet=U0&amp;row=1913&amp;col=7&amp;number=0.00297&amp;sourceID=14","0.00297")</f>
        <v>0.00297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HYPERLINK("http://141.218.60.56/~jnz1568/getInfo.php?workbook=14_06.xlsx&amp;sheet=U0&amp;row=1914&amp;col=6&amp;number=4&amp;sourceID=14","4")</f>
        <v>4</v>
      </c>
      <c r="G1914" s="4" t="str">
        <f>HYPERLINK("http://141.218.60.56/~jnz1568/getInfo.php?workbook=14_06.xlsx&amp;sheet=U0&amp;row=1914&amp;col=7&amp;number=0.00297&amp;sourceID=14","0.00297")</f>
        <v>0.00297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HYPERLINK("http://141.218.60.56/~jnz1568/getInfo.php?workbook=14_06.xlsx&amp;sheet=U0&amp;row=1915&amp;col=6&amp;number=4.1&amp;sourceID=14","4.1")</f>
        <v>4.1</v>
      </c>
      <c r="G1915" s="4" t="str">
        <f>HYPERLINK("http://141.218.60.56/~jnz1568/getInfo.php?workbook=14_06.xlsx&amp;sheet=U0&amp;row=1915&amp;col=7&amp;number=0.00297&amp;sourceID=14","0.00297")</f>
        <v>0.00297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HYPERLINK("http://141.218.60.56/~jnz1568/getInfo.php?workbook=14_06.xlsx&amp;sheet=U0&amp;row=1916&amp;col=6&amp;number=4.2&amp;sourceID=14","4.2")</f>
        <v>4.2</v>
      </c>
      <c r="G1916" s="4" t="str">
        <f>HYPERLINK("http://141.218.60.56/~jnz1568/getInfo.php?workbook=14_06.xlsx&amp;sheet=U0&amp;row=1916&amp;col=7&amp;number=0.00296&amp;sourceID=14","0.00296")</f>
        <v>0.00296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HYPERLINK("http://141.218.60.56/~jnz1568/getInfo.php?workbook=14_06.xlsx&amp;sheet=U0&amp;row=1917&amp;col=6&amp;number=4.3&amp;sourceID=14","4.3")</f>
        <v>4.3</v>
      </c>
      <c r="G1917" s="4" t="str">
        <f>HYPERLINK("http://141.218.60.56/~jnz1568/getInfo.php?workbook=14_06.xlsx&amp;sheet=U0&amp;row=1917&amp;col=7&amp;number=0.00296&amp;sourceID=14","0.00296")</f>
        <v>0.00296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HYPERLINK("http://141.218.60.56/~jnz1568/getInfo.php?workbook=14_06.xlsx&amp;sheet=U0&amp;row=1918&amp;col=6&amp;number=4.4&amp;sourceID=14","4.4")</f>
        <v>4.4</v>
      </c>
      <c r="G1918" s="4" t="str">
        <f>HYPERLINK("http://141.218.60.56/~jnz1568/getInfo.php?workbook=14_06.xlsx&amp;sheet=U0&amp;row=1918&amp;col=7&amp;number=0.00296&amp;sourceID=14","0.00296")</f>
        <v>0.00296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HYPERLINK("http://141.218.60.56/~jnz1568/getInfo.php?workbook=14_06.xlsx&amp;sheet=U0&amp;row=1919&amp;col=6&amp;number=4.5&amp;sourceID=14","4.5")</f>
        <v>4.5</v>
      </c>
      <c r="G1919" s="4" t="str">
        <f>HYPERLINK("http://141.218.60.56/~jnz1568/getInfo.php?workbook=14_06.xlsx&amp;sheet=U0&amp;row=1919&amp;col=7&amp;number=0.00295&amp;sourceID=14","0.00295")</f>
        <v>0.00295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HYPERLINK("http://141.218.60.56/~jnz1568/getInfo.php?workbook=14_06.xlsx&amp;sheet=U0&amp;row=1920&amp;col=6&amp;number=4.6&amp;sourceID=14","4.6")</f>
        <v>4.6</v>
      </c>
      <c r="G1920" s="4" t="str">
        <f>HYPERLINK("http://141.218.60.56/~jnz1568/getInfo.php?workbook=14_06.xlsx&amp;sheet=U0&amp;row=1920&amp;col=7&amp;number=0.00295&amp;sourceID=14","0.00295")</f>
        <v>0.00295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HYPERLINK("http://141.218.60.56/~jnz1568/getInfo.php?workbook=14_06.xlsx&amp;sheet=U0&amp;row=1921&amp;col=6&amp;number=4.7&amp;sourceID=14","4.7")</f>
        <v>4.7</v>
      </c>
      <c r="G1921" s="4" t="str">
        <f>HYPERLINK("http://141.218.60.56/~jnz1568/getInfo.php?workbook=14_06.xlsx&amp;sheet=U0&amp;row=1921&amp;col=7&amp;number=0.00294&amp;sourceID=14","0.00294")</f>
        <v>0.00294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HYPERLINK("http://141.218.60.56/~jnz1568/getInfo.php?workbook=14_06.xlsx&amp;sheet=U0&amp;row=1922&amp;col=6&amp;number=4.8&amp;sourceID=14","4.8")</f>
        <v>4.8</v>
      </c>
      <c r="G1922" s="4" t="str">
        <f>HYPERLINK("http://141.218.60.56/~jnz1568/getInfo.php?workbook=14_06.xlsx&amp;sheet=U0&amp;row=1922&amp;col=7&amp;number=0.00293&amp;sourceID=14","0.00293")</f>
        <v>0.00293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HYPERLINK("http://141.218.60.56/~jnz1568/getInfo.php?workbook=14_06.xlsx&amp;sheet=U0&amp;row=1923&amp;col=6&amp;number=4.9&amp;sourceID=14","4.9")</f>
        <v>4.9</v>
      </c>
      <c r="G1923" s="4" t="str">
        <f>HYPERLINK("http://141.218.60.56/~jnz1568/getInfo.php?workbook=14_06.xlsx&amp;sheet=U0&amp;row=1923&amp;col=7&amp;number=0.00292&amp;sourceID=14","0.00292")</f>
        <v>0.00292</v>
      </c>
    </row>
    <row r="1924" spans="1:7">
      <c r="A1924" s="3">
        <v>14</v>
      </c>
      <c r="B1924" s="3">
        <v>6</v>
      </c>
      <c r="C1924" s="3">
        <v>3</v>
      </c>
      <c r="D1924" s="3">
        <v>11</v>
      </c>
      <c r="E1924" s="3">
        <v>1</v>
      </c>
      <c r="F1924" s="4" t="str">
        <f>HYPERLINK("http://141.218.60.56/~jnz1568/getInfo.php?workbook=14_06.xlsx&amp;sheet=U0&amp;row=1924&amp;col=6&amp;number=3&amp;sourceID=14","3")</f>
        <v>3</v>
      </c>
      <c r="G1924" s="4" t="str">
        <f>HYPERLINK("http://141.218.60.56/~jnz1568/getInfo.php?workbook=14_06.xlsx&amp;sheet=U0&amp;row=1924&amp;col=7&amp;number=0.303&amp;sourceID=14","0.303")</f>
        <v>0.303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HYPERLINK("http://141.218.60.56/~jnz1568/getInfo.php?workbook=14_06.xlsx&amp;sheet=U0&amp;row=1925&amp;col=6&amp;number=3.1&amp;sourceID=14","3.1")</f>
        <v>3.1</v>
      </c>
      <c r="G1925" s="4" t="str">
        <f>HYPERLINK("http://141.218.60.56/~jnz1568/getInfo.php?workbook=14_06.xlsx&amp;sheet=U0&amp;row=1925&amp;col=7&amp;number=0.303&amp;sourceID=14","0.303")</f>
        <v>0.303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HYPERLINK("http://141.218.60.56/~jnz1568/getInfo.php?workbook=14_06.xlsx&amp;sheet=U0&amp;row=1926&amp;col=6&amp;number=3.2&amp;sourceID=14","3.2")</f>
        <v>3.2</v>
      </c>
      <c r="G1926" s="4" t="str">
        <f>HYPERLINK("http://141.218.60.56/~jnz1568/getInfo.php?workbook=14_06.xlsx&amp;sheet=U0&amp;row=1926&amp;col=7&amp;number=0.304&amp;sourceID=14","0.304")</f>
        <v>0.304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HYPERLINK("http://141.218.60.56/~jnz1568/getInfo.php?workbook=14_06.xlsx&amp;sheet=U0&amp;row=1927&amp;col=6&amp;number=3.3&amp;sourceID=14","3.3")</f>
        <v>3.3</v>
      </c>
      <c r="G1927" s="4" t="str">
        <f>HYPERLINK("http://141.218.60.56/~jnz1568/getInfo.php?workbook=14_06.xlsx&amp;sheet=U0&amp;row=1927&amp;col=7&amp;number=0.304&amp;sourceID=14","0.304")</f>
        <v>0.304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HYPERLINK("http://141.218.60.56/~jnz1568/getInfo.php?workbook=14_06.xlsx&amp;sheet=U0&amp;row=1928&amp;col=6&amp;number=3.4&amp;sourceID=14","3.4")</f>
        <v>3.4</v>
      </c>
      <c r="G1928" s="4" t="str">
        <f>HYPERLINK("http://141.218.60.56/~jnz1568/getInfo.php?workbook=14_06.xlsx&amp;sheet=U0&amp;row=1928&amp;col=7&amp;number=0.304&amp;sourceID=14","0.304")</f>
        <v>0.304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HYPERLINK("http://141.218.60.56/~jnz1568/getInfo.php?workbook=14_06.xlsx&amp;sheet=U0&amp;row=1929&amp;col=6&amp;number=3.5&amp;sourceID=14","3.5")</f>
        <v>3.5</v>
      </c>
      <c r="G1929" s="4" t="str">
        <f>HYPERLINK("http://141.218.60.56/~jnz1568/getInfo.php?workbook=14_06.xlsx&amp;sheet=U0&amp;row=1929&amp;col=7&amp;number=0.304&amp;sourceID=14","0.304")</f>
        <v>0.304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HYPERLINK("http://141.218.60.56/~jnz1568/getInfo.php?workbook=14_06.xlsx&amp;sheet=U0&amp;row=1930&amp;col=6&amp;number=3.6&amp;sourceID=14","3.6")</f>
        <v>3.6</v>
      </c>
      <c r="G1930" s="4" t="str">
        <f>HYPERLINK("http://141.218.60.56/~jnz1568/getInfo.php?workbook=14_06.xlsx&amp;sheet=U0&amp;row=1930&amp;col=7&amp;number=0.304&amp;sourceID=14","0.304")</f>
        <v>0.304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HYPERLINK("http://141.218.60.56/~jnz1568/getInfo.php?workbook=14_06.xlsx&amp;sheet=U0&amp;row=1931&amp;col=6&amp;number=3.7&amp;sourceID=14","3.7")</f>
        <v>3.7</v>
      </c>
      <c r="G1931" s="4" t="str">
        <f>HYPERLINK("http://141.218.60.56/~jnz1568/getInfo.php?workbook=14_06.xlsx&amp;sheet=U0&amp;row=1931&amp;col=7&amp;number=0.304&amp;sourceID=14","0.304")</f>
        <v>0.304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HYPERLINK("http://141.218.60.56/~jnz1568/getInfo.php?workbook=14_06.xlsx&amp;sheet=U0&amp;row=1932&amp;col=6&amp;number=3.8&amp;sourceID=14","3.8")</f>
        <v>3.8</v>
      </c>
      <c r="G1932" s="4" t="str">
        <f>HYPERLINK("http://141.218.60.56/~jnz1568/getInfo.php?workbook=14_06.xlsx&amp;sheet=U0&amp;row=1932&amp;col=7&amp;number=0.304&amp;sourceID=14","0.304")</f>
        <v>0.304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HYPERLINK("http://141.218.60.56/~jnz1568/getInfo.php?workbook=14_06.xlsx&amp;sheet=U0&amp;row=1933&amp;col=6&amp;number=3.9&amp;sourceID=14","3.9")</f>
        <v>3.9</v>
      </c>
      <c r="G1933" s="4" t="str">
        <f>HYPERLINK("http://141.218.60.56/~jnz1568/getInfo.php?workbook=14_06.xlsx&amp;sheet=U0&amp;row=1933&amp;col=7&amp;number=0.305&amp;sourceID=14","0.305")</f>
        <v>0.305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HYPERLINK("http://141.218.60.56/~jnz1568/getInfo.php?workbook=14_06.xlsx&amp;sheet=U0&amp;row=1934&amp;col=6&amp;number=4&amp;sourceID=14","4")</f>
        <v>4</v>
      </c>
      <c r="G1934" s="4" t="str">
        <f>HYPERLINK("http://141.218.60.56/~jnz1568/getInfo.php?workbook=14_06.xlsx&amp;sheet=U0&amp;row=1934&amp;col=7&amp;number=0.305&amp;sourceID=14","0.305")</f>
        <v>0.305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HYPERLINK("http://141.218.60.56/~jnz1568/getInfo.php?workbook=14_06.xlsx&amp;sheet=U0&amp;row=1935&amp;col=6&amp;number=4.1&amp;sourceID=14","4.1")</f>
        <v>4.1</v>
      </c>
      <c r="G1935" s="4" t="str">
        <f>HYPERLINK("http://141.218.60.56/~jnz1568/getInfo.php?workbook=14_06.xlsx&amp;sheet=U0&amp;row=1935&amp;col=7&amp;number=0.305&amp;sourceID=14","0.305")</f>
        <v>0.305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HYPERLINK("http://141.218.60.56/~jnz1568/getInfo.php?workbook=14_06.xlsx&amp;sheet=U0&amp;row=1936&amp;col=6&amp;number=4.2&amp;sourceID=14","4.2")</f>
        <v>4.2</v>
      </c>
      <c r="G1936" s="4" t="str">
        <f>HYPERLINK("http://141.218.60.56/~jnz1568/getInfo.php?workbook=14_06.xlsx&amp;sheet=U0&amp;row=1936&amp;col=7&amp;number=0.306&amp;sourceID=14","0.306")</f>
        <v>0.306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HYPERLINK("http://141.218.60.56/~jnz1568/getInfo.php?workbook=14_06.xlsx&amp;sheet=U0&amp;row=1937&amp;col=6&amp;number=4.3&amp;sourceID=14","4.3")</f>
        <v>4.3</v>
      </c>
      <c r="G1937" s="4" t="str">
        <f>HYPERLINK("http://141.218.60.56/~jnz1568/getInfo.php?workbook=14_06.xlsx&amp;sheet=U0&amp;row=1937&amp;col=7&amp;number=0.306&amp;sourceID=14","0.306")</f>
        <v>0.306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HYPERLINK("http://141.218.60.56/~jnz1568/getInfo.php?workbook=14_06.xlsx&amp;sheet=U0&amp;row=1938&amp;col=6&amp;number=4.4&amp;sourceID=14","4.4")</f>
        <v>4.4</v>
      </c>
      <c r="G1938" s="4" t="str">
        <f>HYPERLINK("http://141.218.60.56/~jnz1568/getInfo.php?workbook=14_06.xlsx&amp;sheet=U0&amp;row=1938&amp;col=7&amp;number=0.307&amp;sourceID=14","0.307")</f>
        <v>0.307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HYPERLINK("http://141.218.60.56/~jnz1568/getInfo.php?workbook=14_06.xlsx&amp;sheet=U0&amp;row=1939&amp;col=6&amp;number=4.5&amp;sourceID=14","4.5")</f>
        <v>4.5</v>
      </c>
      <c r="G1939" s="4" t="str">
        <f>HYPERLINK("http://141.218.60.56/~jnz1568/getInfo.php?workbook=14_06.xlsx&amp;sheet=U0&amp;row=1939&amp;col=7&amp;number=0.308&amp;sourceID=14","0.308")</f>
        <v>0.308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HYPERLINK("http://141.218.60.56/~jnz1568/getInfo.php?workbook=14_06.xlsx&amp;sheet=U0&amp;row=1940&amp;col=6&amp;number=4.6&amp;sourceID=14","4.6")</f>
        <v>4.6</v>
      </c>
      <c r="G1940" s="4" t="str">
        <f>HYPERLINK("http://141.218.60.56/~jnz1568/getInfo.php?workbook=14_06.xlsx&amp;sheet=U0&amp;row=1940&amp;col=7&amp;number=0.309&amp;sourceID=14","0.309")</f>
        <v>0.309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HYPERLINK("http://141.218.60.56/~jnz1568/getInfo.php?workbook=14_06.xlsx&amp;sheet=U0&amp;row=1941&amp;col=6&amp;number=4.7&amp;sourceID=14","4.7")</f>
        <v>4.7</v>
      </c>
      <c r="G1941" s="4" t="str">
        <f>HYPERLINK("http://141.218.60.56/~jnz1568/getInfo.php?workbook=14_06.xlsx&amp;sheet=U0&amp;row=1941&amp;col=7&amp;number=0.311&amp;sourceID=14","0.311")</f>
        <v>0.311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HYPERLINK("http://141.218.60.56/~jnz1568/getInfo.php?workbook=14_06.xlsx&amp;sheet=U0&amp;row=1942&amp;col=6&amp;number=4.8&amp;sourceID=14","4.8")</f>
        <v>4.8</v>
      </c>
      <c r="G1942" s="4" t="str">
        <f>HYPERLINK("http://141.218.60.56/~jnz1568/getInfo.php?workbook=14_06.xlsx&amp;sheet=U0&amp;row=1942&amp;col=7&amp;number=0.313&amp;sourceID=14","0.313")</f>
        <v>0.313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HYPERLINK("http://141.218.60.56/~jnz1568/getInfo.php?workbook=14_06.xlsx&amp;sheet=U0&amp;row=1943&amp;col=6&amp;number=4.9&amp;sourceID=14","4.9")</f>
        <v>4.9</v>
      </c>
      <c r="G1943" s="4" t="str">
        <f>HYPERLINK("http://141.218.60.56/~jnz1568/getInfo.php?workbook=14_06.xlsx&amp;sheet=U0&amp;row=1943&amp;col=7&amp;number=0.315&amp;sourceID=14","0.315")</f>
        <v>0.315</v>
      </c>
    </row>
    <row r="1944" spans="1:7">
      <c r="A1944" s="3">
        <v>14</v>
      </c>
      <c r="B1944" s="3">
        <v>6</v>
      </c>
      <c r="C1944" s="3">
        <v>3</v>
      </c>
      <c r="D1944" s="3">
        <v>12</v>
      </c>
      <c r="E1944" s="3">
        <v>1</v>
      </c>
      <c r="F1944" s="4" t="str">
        <f>HYPERLINK("http://141.218.60.56/~jnz1568/getInfo.php?workbook=14_06.xlsx&amp;sheet=U0&amp;row=1944&amp;col=6&amp;number=3&amp;sourceID=14","3")</f>
        <v>3</v>
      </c>
      <c r="G1944" s="4" t="str">
        <f>HYPERLINK("http://141.218.60.56/~jnz1568/getInfo.php?workbook=14_06.xlsx&amp;sheet=U0&amp;row=1944&amp;col=7&amp;number=1.02&amp;sourceID=14","1.02")</f>
        <v>1.02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HYPERLINK("http://141.218.60.56/~jnz1568/getInfo.php?workbook=14_06.xlsx&amp;sheet=U0&amp;row=1945&amp;col=6&amp;number=3.1&amp;sourceID=14","3.1")</f>
        <v>3.1</v>
      </c>
      <c r="G1945" s="4" t="str">
        <f>HYPERLINK("http://141.218.60.56/~jnz1568/getInfo.php?workbook=14_06.xlsx&amp;sheet=U0&amp;row=1945&amp;col=7&amp;number=1.02&amp;sourceID=14","1.02")</f>
        <v>1.02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HYPERLINK("http://141.218.60.56/~jnz1568/getInfo.php?workbook=14_06.xlsx&amp;sheet=U0&amp;row=1946&amp;col=6&amp;number=3.2&amp;sourceID=14","3.2")</f>
        <v>3.2</v>
      </c>
      <c r="G1946" s="4" t="str">
        <f>HYPERLINK("http://141.218.60.56/~jnz1568/getInfo.php?workbook=14_06.xlsx&amp;sheet=U0&amp;row=1946&amp;col=7&amp;number=1.02&amp;sourceID=14","1.02")</f>
        <v>1.02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HYPERLINK("http://141.218.60.56/~jnz1568/getInfo.php?workbook=14_06.xlsx&amp;sheet=U0&amp;row=1947&amp;col=6&amp;number=3.3&amp;sourceID=14","3.3")</f>
        <v>3.3</v>
      </c>
      <c r="G1947" s="4" t="str">
        <f>HYPERLINK("http://141.218.60.56/~jnz1568/getInfo.php?workbook=14_06.xlsx&amp;sheet=U0&amp;row=1947&amp;col=7&amp;number=1.02&amp;sourceID=14","1.02")</f>
        <v>1.02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HYPERLINK("http://141.218.60.56/~jnz1568/getInfo.php?workbook=14_06.xlsx&amp;sheet=U0&amp;row=1948&amp;col=6&amp;number=3.4&amp;sourceID=14","3.4")</f>
        <v>3.4</v>
      </c>
      <c r="G1948" s="4" t="str">
        <f>HYPERLINK("http://141.218.60.56/~jnz1568/getInfo.php?workbook=14_06.xlsx&amp;sheet=U0&amp;row=1948&amp;col=7&amp;number=1.02&amp;sourceID=14","1.02")</f>
        <v>1.02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HYPERLINK("http://141.218.60.56/~jnz1568/getInfo.php?workbook=14_06.xlsx&amp;sheet=U0&amp;row=1949&amp;col=6&amp;number=3.5&amp;sourceID=14","3.5")</f>
        <v>3.5</v>
      </c>
      <c r="G1949" s="4" t="str">
        <f>HYPERLINK("http://141.218.60.56/~jnz1568/getInfo.php?workbook=14_06.xlsx&amp;sheet=U0&amp;row=1949&amp;col=7&amp;number=1.02&amp;sourceID=14","1.02")</f>
        <v>1.02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HYPERLINK("http://141.218.60.56/~jnz1568/getInfo.php?workbook=14_06.xlsx&amp;sheet=U0&amp;row=1950&amp;col=6&amp;number=3.6&amp;sourceID=14","3.6")</f>
        <v>3.6</v>
      </c>
      <c r="G1950" s="4" t="str">
        <f>HYPERLINK("http://141.218.60.56/~jnz1568/getInfo.php?workbook=14_06.xlsx&amp;sheet=U0&amp;row=1950&amp;col=7&amp;number=1.03&amp;sourceID=14","1.03")</f>
        <v>1.03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HYPERLINK("http://141.218.60.56/~jnz1568/getInfo.php?workbook=14_06.xlsx&amp;sheet=U0&amp;row=1951&amp;col=6&amp;number=3.7&amp;sourceID=14","3.7")</f>
        <v>3.7</v>
      </c>
      <c r="G1951" s="4" t="str">
        <f>HYPERLINK("http://141.218.60.56/~jnz1568/getInfo.php?workbook=14_06.xlsx&amp;sheet=U0&amp;row=1951&amp;col=7&amp;number=1.03&amp;sourceID=14","1.03")</f>
        <v>1.03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HYPERLINK("http://141.218.60.56/~jnz1568/getInfo.php?workbook=14_06.xlsx&amp;sheet=U0&amp;row=1952&amp;col=6&amp;number=3.8&amp;sourceID=14","3.8")</f>
        <v>3.8</v>
      </c>
      <c r="G1952" s="4" t="str">
        <f>HYPERLINK("http://141.218.60.56/~jnz1568/getInfo.php?workbook=14_06.xlsx&amp;sheet=U0&amp;row=1952&amp;col=7&amp;number=1.03&amp;sourceID=14","1.03")</f>
        <v>1.03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HYPERLINK("http://141.218.60.56/~jnz1568/getInfo.php?workbook=14_06.xlsx&amp;sheet=U0&amp;row=1953&amp;col=6&amp;number=3.9&amp;sourceID=14","3.9")</f>
        <v>3.9</v>
      </c>
      <c r="G1953" s="4" t="str">
        <f>HYPERLINK("http://141.218.60.56/~jnz1568/getInfo.php?workbook=14_06.xlsx&amp;sheet=U0&amp;row=1953&amp;col=7&amp;number=1.03&amp;sourceID=14","1.03")</f>
        <v>1.03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HYPERLINK("http://141.218.60.56/~jnz1568/getInfo.php?workbook=14_06.xlsx&amp;sheet=U0&amp;row=1954&amp;col=6&amp;number=4&amp;sourceID=14","4")</f>
        <v>4</v>
      </c>
      <c r="G1954" s="4" t="str">
        <f>HYPERLINK("http://141.218.60.56/~jnz1568/getInfo.php?workbook=14_06.xlsx&amp;sheet=U0&amp;row=1954&amp;col=7&amp;number=1.03&amp;sourceID=14","1.03")</f>
        <v>1.03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HYPERLINK("http://141.218.60.56/~jnz1568/getInfo.php?workbook=14_06.xlsx&amp;sheet=U0&amp;row=1955&amp;col=6&amp;number=4.1&amp;sourceID=14","4.1")</f>
        <v>4.1</v>
      </c>
      <c r="G1955" s="4" t="str">
        <f>HYPERLINK("http://141.218.60.56/~jnz1568/getInfo.php?workbook=14_06.xlsx&amp;sheet=U0&amp;row=1955&amp;col=7&amp;number=1.03&amp;sourceID=14","1.03")</f>
        <v>1.03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HYPERLINK("http://141.218.60.56/~jnz1568/getInfo.php?workbook=14_06.xlsx&amp;sheet=U0&amp;row=1956&amp;col=6&amp;number=4.2&amp;sourceID=14","4.2")</f>
        <v>4.2</v>
      </c>
      <c r="G1956" s="4" t="str">
        <f>HYPERLINK("http://141.218.60.56/~jnz1568/getInfo.php?workbook=14_06.xlsx&amp;sheet=U0&amp;row=1956&amp;col=7&amp;number=1.03&amp;sourceID=14","1.03")</f>
        <v>1.03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HYPERLINK("http://141.218.60.56/~jnz1568/getInfo.php?workbook=14_06.xlsx&amp;sheet=U0&amp;row=1957&amp;col=6&amp;number=4.3&amp;sourceID=14","4.3")</f>
        <v>4.3</v>
      </c>
      <c r="G1957" s="4" t="str">
        <f>HYPERLINK("http://141.218.60.56/~jnz1568/getInfo.php?workbook=14_06.xlsx&amp;sheet=U0&amp;row=1957&amp;col=7&amp;number=1.03&amp;sourceID=14","1.03")</f>
        <v>1.03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HYPERLINK("http://141.218.60.56/~jnz1568/getInfo.php?workbook=14_06.xlsx&amp;sheet=U0&amp;row=1958&amp;col=6&amp;number=4.4&amp;sourceID=14","4.4")</f>
        <v>4.4</v>
      </c>
      <c r="G1958" s="4" t="str">
        <f>HYPERLINK("http://141.218.60.56/~jnz1568/getInfo.php?workbook=14_06.xlsx&amp;sheet=U0&amp;row=1958&amp;col=7&amp;number=1.04&amp;sourceID=14","1.04")</f>
        <v>1.04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HYPERLINK("http://141.218.60.56/~jnz1568/getInfo.php?workbook=14_06.xlsx&amp;sheet=U0&amp;row=1959&amp;col=6&amp;number=4.5&amp;sourceID=14","4.5")</f>
        <v>4.5</v>
      </c>
      <c r="G1959" s="4" t="str">
        <f>HYPERLINK("http://141.218.60.56/~jnz1568/getInfo.php?workbook=14_06.xlsx&amp;sheet=U0&amp;row=1959&amp;col=7&amp;number=1.04&amp;sourceID=14","1.04")</f>
        <v>1.04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HYPERLINK("http://141.218.60.56/~jnz1568/getInfo.php?workbook=14_06.xlsx&amp;sheet=U0&amp;row=1960&amp;col=6&amp;number=4.6&amp;sourceID=14","4.6")</f>
        <v>4.6</v>
      </c>
      <c r="G1960" s="4" t="str">
        <f>HYPERLINK("http://141.218.60.56/~jnz1568/getInfo.php?workbook=14_06.xlsx&amp;sheet=U0&amp;row=1960&amp;col=7&amp;number=1.04&amp;sourceID=14","1.04")</f>
        <v>1.04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HYPERLINK("http://141.218.60.56/~jnz1568/getInfo.php?workbook=14_06.xlsx&amp;sheet=U0&amp;row=1961&amp;col=6&amp;number=4.7&amp;sourceID=14","4.7")</f>
        <v>4.7</v>
      </c>
      <c r="G1961" s="4" t="str">
        <f>HYPERLINK("http://141.218.60.56/~jnz1568/getInfo.php?workbook=14_06.xlsx&amp;sheet=U0&amp;row=1961&amp;col=7&amp;number=1.05&amp;sourceID=14","1.05")</f>
        <v>1.05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HYPERLINK("http://141.218.60.56/~jnz1568/getInfo.php?workbook=14_06.xlsx&amp;sheet=U0&amp;row=1962&amp;col=6&amp;number=4.8&amp;sourceID=14","4.8")</f>
        <v>4.8</v>
      </c>
      <c r="G1962" s="4" t="str">
        <f>HYPERLINK("http://141.218.60.56/~jnz1568/getInfo.php?workbook=14_06.xlsx&amp;sheet=U0&amp;row=1962&amp;col=7&amp;number=1.05&amp;sourceID=14","1.05")</f>
        <v>1.05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HYPERLINK("http://141.218.60.56/~jnz1568/getInfo.php?workbook=14_06.xlsx&amp;sheet=U0&amp;row=1963&amp;col=6&amp;number=4.9&amp;sourceID=14","4.9")</f>
        <v>4.9</v>
      </c>
      <c r="G1963" s="4" t="str">
        <f>HYPERLINK("http://141.218.60.56/~jnz1568/getInfo.php?workbook=14_06.xlsx&amp;sheet=U0&amp;row=1963&amp;col=7&amp;number=1.06&amp;sourceID=14","1.06")</f>
        <v>1.06</v>
      </c>
    </row>
    <row r="1964" spans="1:7">
      <c r="A1964" s="3">
        <v>14</v>
      </c>
      <c r="B1964" s="3">
        <v>6</v>
      </c>
      <c r="C1964" s="3">
        <v>3</v>
      </c>
      <c r="D1964" s="3">
        <v>13</v>
      </c>
      <c r="E1964" s="3">
        <v>1</v>
      </c>
      <c r="F1964" s="4" t="str">
        <f>HYPERLINK("http://141.218.60.56/~jnz1568/getInfo.php?workbook=14_06.xlsx&amp;sheet=U0&amp;row=1964&amp;col=6&amp;number=3&amp;sourceID=14","3")</f>
        <v>3</v>
      </c>
      <c r="G1964" s="4" t="str">
        <f>HYPERLINK("http://141.218.60.56/~jnz1568/getInfo.php?workbook=14_06.xlsx&amp;sheet=U0&amp;row=1964&amp;col=7&amp;number=0.0406&amp;sourceID=14","0.0406")</f>
        <v>0.0406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HYPERLINK("http://141.218.60.56/~jnz1568/getInfo.php?workbook=14_06.xlsx&amp;sheet=U0&amp;row=1965&amp;col=6&amp;number=3.1&amp;sourceID=14","3.1")</f>
        <v>3.1</v>
      </c>
      <c r="G1965" s="4" t="str">
        <f>HYPERLINK("http://141.218.60.56/~jnz1568/getInfo.php?workbook=14_06.xlsx&amp;sheet=U0&amp;row=1965&amp;col=7&amp;number=0.0406&amp;sourceID=14","0.0406")</f>
        <v>0.0406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HYPERLINK("http://141.218.60.56/~jnz1568/getInfo.php?workbook=14_06.xlsx&amp;sheet=U0&amp;row=1966&amp;col=6&amp;number=3.2&amp;sourceID=14","3.2")</f>
        <v>3.2</v>
      </c>
      <c r="G1966" s="4" t="str">
        <f>HYPERLINK("http://141.218.60.56/~jnz1568/getInfo.php?workbook=14_06.xlsx&amp;sheet=U0&amp;row=1966&amp;col=7&amp;number=0.0406&amp;sourceID=14","0.0406")</f>
        <v>0.0406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HYPERLINK("http://141.218.60.56/~jnz1568/getInfo.php?workbook=14_06.xlsx&amp;sheet=U0&amp;row=1967&amp;col=6&amp;number=3.3&amp;sourceID=14","3.3")</f>
        <v>3.3</v>
      </c>
      <c r="G1967" s="4" t="str">
        <f>HYPERLINK("http://141.218.60.56/~jnz1568/getInfo.php?workbook=14_06.xlsx&amp;sheet=U0&amp;row=1967&amp;col=7&amp;number=0.0406&amp;sourceID=14","0.0406")</f>
        <v>0.0406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HYPERLINK("http://141.218.60.56/~jnz1568/getInfo.php?workbook=14_06.xlsx&amp;sheet=U0&amp;row=1968&amp;col=6&amp;number=3.4&amp;sourceID=14","3.4")</f>
        <v>3.4</v>
      </c>
      <c r="G1968" s="4" t="str">
        <f>HYPERLINK("http://141.218.60.56/~jnz1568/getInfo.php?workbook=14_06.xlsx&amp;sheet=U0&amp;row=1968&amp;col=7&amp;number=0.0406&amp;sourceID=14","0.0406")</f>
        <v>0.0406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HYPERLINK("http://141.218.60.56/~jnz1568/getInfo.php?workbook=14_06.xlsx&amp;sheet=U0&amp;row=1969&amp;col=6&amp;number=3.5&amp;sourceID=14","3.5")</f>
        <v>3.5</v>
      </c>
      <c r="G1969" s="4" t="str">
        <f>HYPERLINK("http://141.218.60.56/~jnz1568/getInfo.php?workbook=14_06.xlsx&amp;sheet=U0&amp;row=1969&amp;col=7&amp;number=0.0406&amp;sourceID=14","0.0406")</f>
        <v>0.0406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HYPERLINK("http://141.218.60.56/~jnz1568/getInfo.php?workbook=14_06.xlsx&amp;sheet=U0&amp;row=1970&amp;col=6&amp;number=3.6&amp;sourceID=14","3.6")</f>
        <v>3.6</v>
      </c>
      <c r="G1970" s="4" t="str">
        <f>HYPERLINK("http://141.218.60.56/~jnz1568/getInfo.php?workbook=14_06.xlsx&amp;sheet=U0&amp;row=1970&amp;col=7&amp;number=0.0406&amp;sourceID=14","0.0406")</f>
        <v>0.0406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HYPERLINK("http://141.218.60.56/~jnz1568/getInfo.php?workbook=14_06.xlsx&amp;sheet=U0&amp;row=1971&amp;col=6&amp;number=3.7&amp;sourceID=14","3.7")</f>
        <v>3.7</v>
      </c>
      <c r="G1971" s="4" t="str">
        <f>HYPERLINK("http://141.218.60.56/~jnz1568/getInfo.php?workbook=14_06.xlsx&amp;sheet=U0&amp;row=1971&amp;col=7&amp;number=0.0406&amp;sourceID=14","0.0406")</f>
        <v>0.0406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HYPERLINK("http://141.218.60.56/~jnz1568/getInfo.php?workbook=14_06.xlsx&amp;sheet=U0&amp;row=1972&amp;col=6&amp;number=3.8&amp;sourceID=14","3.8")</f>
        <v>3.8</v>
      </c>
      <c r="G1972" s="4" t="str">
        <f>HYPERLINK("http://141.218.60.56/~jnz1568/getInfo.php?workbook=14_06.xlsx&amp;sheet=U0&amp;row=1972&amp;col=7&amp;number=0.0406&amp;sourceID=14","0.0406")</f>
        <v>0.0406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HYPERLINK("http://141.218.60.56/~jnz1568/getInfo.php?workbook=14_06.xlsx&amp;sheet=U0&amp;row=1973&amp;col=6&amp;number=3.9&amp;sourceID=14","3.9")</f>
        <v>3.9</v>
      </c>
      <c r="G1973" s="4" t="str">
        <f>HYPERLINK("http://141.218.60.56/~jnz1568/getInfo.php?workbook=14_06.xlsx&amp;sheet=U0&amp;row=1973&amp;col=7&amp;number=0.0406&amp;sourceID=14","0.0406")</f>
        <v>0.0406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HYPERLINK("http://141.218.60.56/~jnz1568/getInfo.php?workbook=14_06.xlsx&amp;sheet=U0&amp;row=1974&amp;col=6&amp;number=4&amp;sourceID=14","4")</f>
        <v>4</v>
      </c>
      <c r="G1974" s="4" t="str">
        <f>HYPERLINK("http://141.218.60.56/~jnz1568/getInfo.php?workbook=14_06.xlsx&amp;sheet=U0&amp;row=1974&amp;col=7&amp;number=0.0405&amp;sourceID=14","0.0405")</f>
        <v>0.0405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HYPERLINK("http://141.218.60.56/~jnz1568/getInfo.php?workbook=14_06.xlsx&amp;sheet=U0&amp;row=1975&amp;col=6&amp;number=4.1&amp;sourceID=14","4.1")</f>
        <v>4.1</v>
      </c>
      <c r="G1975" s="4" t="str">
        <f>HYPERLINK("http://141.218.60.56/~jnz1568/getInfo.php?workbook=14_06.xlsx&amp;sheet=U0&amp;row=1975&amp;col=7&amp;number=0.0405&amp;sourceID=14","0.0405")</f>
        <v>0.0405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HYPERLINK("http://141.218.60.56/~jnz1568/getInfo.php?workbook=14_06.xlsx&amp;sheet=U0&amp;row=1976&amp;col=6&amp;number=4.2&amp;sourceID=14","4.2")</f>
        <v>4.2</v>
      </c>
      <c r="G1976" s="4" t="str">
        <f>HYPERLINK("http://141.218.60.56/~jnz1568/getInfo.php?workbook=14_06.xlsx&amp;sheet=U0&amp;row=1976&amp;col=7&amp;number=0.0405&amp;sourceID=14","0.0405")</f>
        <v>0.0405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HYPERLINK("http://141.218.60.56/~jnz1568/getInfo.php?workbook=14_06.xlsx&amp;sheet=U0&amp;row=1977&amp;col=6&amp;number=4.3&amp;sourceID=14","4.3")</f>
        <v>4.3</v>
      </c>
      <c r="G1977" s="4" t="str">
        <f>HYPERLINK("http://141.218.60.56/~jnz1568/getInfo.php?workbook=14_06.xlsx&amp;sheet=U0&amp;row=1977&amp;col=7&amp;number=0.0405&amp;sourceID=14","0.0405")</f>
        <v>0.0405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HYPERLINK("http://141.218.60.56/~jnz1568/getInfo.php?workbook=14_06.xlsx&amp;sheet=U0&amp;row=1978&amp;col=6&amp;number=4.4&amp;sourceID=14","4.4")</f>
        <v>4.4</v>
      </c>
      <c r="G1978" s="4" t="str">
        <f>HYPERLINK("http://141.218.60.56/~jnz1568/getInfo.php?workbook=14_06.xlsx&amp;sheet=U0&amp;row=1978&amp;col=7&amp;number=0.0404&amp;sourceID=14","0.0404")</f>
        <v>0.0404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HYPERLINK("http://141.218.60.56/~jnz1568/getInfo.php?workbook=14_06.xlsx&amp;sheet=U0&amp;row=1979&amp;col=6&amp;number=4.5&amp;sourceID=14","4.5")</f>
        <v>4.5</v>
      </c>
      <c r="G1979" s="4" t="str">
        <f>HYPERLINK("http://141.218.60.56/~jnz1568/getInfo.php?workbook=14_06.xlsx&amp;sheet=U0&amp;row=1979&amp;col=7&amp;number=0.0404&amp;sourceID=14","0.0404")</f>
        <v>0.0404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HYPERLINK("http://141.218.60.56/~jnz1568/getInfo.php?workbook=14_06.xlsx&amp;sheet=U0&amp;row=1980&amp;col=6&amp;number=4.6&amp;sourceID=14","4.6")</f>
        <v>4.6</v>
      </c>
      <c r="G1980" s="4" t="str">
        <f>HYPERLINK("http://141.218.60.56/~jnz1568/getInfo.php?workbook=14_06.xlsx&amp;sheet=U0&amp;row=1980&amp;col=7&amp;number=0.0404&amp;sourceID=14","0.0404")</f>
        <v>0.0404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HYPERLINK("http://141.218.60.56/~jnz1568/getInfo.php?workbook=14_06.xlsx&amp;sheet=U0&amp;row=1981&amp;col=6&amp;number=4.7&amp;sourceID=14","4.7")</f>
        <v>4.7</v>
      </c>
      <c r="G1981" s="4" t="str">
        <f>HYPERLINK("http://141.218.60.56/~jnz1568/getInfo.php?workbook=14_06.xlsx&amp;sheet=U0&amp;row=1981&amp;col=7&amp;number=0.0403&amp;sourceID=14","0.0403")</f>
        <v>0.0403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HYPERLINK("http://141.218.60.56/~jnz1568/getInfo.php?workbook=14_06.xlsx&amp;sheet=U0&amp;row=1982&amp;col=6&amp;number=4.8&amp;sourceID=14","4.8")</f>
        <v>4.8</v>
      </c>
      <c r="G1982" s="4" t="str">
        <f>HYPERLINK("http://141.218.60.56/~jnz1568/getInfo.php?workbook=14_06.xlsx&amp;sheet=U0&amp;row=1982&amp;col=7&amp;number=0.0402&amp;sourceID=14","0.0402")</f>
        <v>0.0402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HYPERLINK("http://141.218.60.56/~jnz1568/getInfo.php?workbook=14_06.xlsx&amp;sheet=U0&amp;row=1983&amp;col=6&amp;number=4.9&amp;sourceID=14","4.9")</f>
        <v>4.9</v>
      </c>
      <c r="G1983" s="4" t="str">
        <f>HYPERLINK("http://141.218.60.56/~jnz1568/getInfo.php?workbook=14_06.xlsx&amp;sheet=U0&amp;row=1983&amp;col=7&amp;number=0.0401&amp;sourceID=14","0.0401")</f>
        <v>0.0401</v>
      </c>
    </row>
    <row r="1984" spans="1:7">
      <c r="A1984" s="3">
        <v>14</v>
      </c>
      <c r="B1984" s="3">
        <v>6</v>
      </c>
      <c r="C1984" s="3">
        <v>3</v>
      </c>
      <c r="D1984" s="3">
        <v>14</v>
      </c>
      <c r="E1984" s="3">
        <v>1</v>
      </c>
      <c r="F1984" s="4" t="str">
        <f>HYPERLINK("http://141.218.60.56/~jnz1568/getInfo.php?workbook=14_06.xlsx&amp;sheet=U0&amp;row=1984&amp;col=6&amp;number=3&amp;sourceID=14","3")</f>
        <v>3</v>
      </c>
      <c r="G1984" s="4" t="str">
        <f>HYPERLINK("http://141.218.60.56/~jnz1568/getInfo.php?workbook=14_06.xlsx&amp;sheet=U0&amp;row=1984&amp;col=7&amp;number=1.04&amp;sourceID=14","1.04")</f>
        <v>1.04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HYPERLINK("http://141.218.60.56/~jnz1568/getInfo.php?workbook=14_06.xlsx&amp;sheet=U0&amp;row=1985&amp;col=6&amp;number=3.1&amp;sourceID=14","3.1")</f>
        <v>3.1</v>
      </c>
      <c r="G1985" s="4" t="str">
        <f>HYPERLINK("http://141.218.60.56/~jnz1568/getInfo.php?workbook=14_06.xlsx&amp;sheet=U0&amp;row=1985&amp;col=7&amp;number=1.04&amp;sourceID=14","1.04")</f>
        <v>1.04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HYPERLINK("http://141.218.60.56/~jnz1568/getInfo.php?workbook=14_06.xlsx&amp;sheet=U0&amp;row=1986&amp;col=6&amp;number=3.2&amp;sourceID=14","3.2")</f>
        <v>3.2</v>
      </c>
      <c r="G1986" s="4" t="str">
        <f>HYPERLINK("http://141.218.60.56/~jnz1568/getInfo.php?workbook=14_06.xlsx&amp;sheet=U0&amp;row=1986&amp;col=7&amp;number=1.04&amp;sourceID=14","1.04")</f>
        <v>1.04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HYPERLINK("http://141.218.60.56/~jnz1568/getInfo.php?workbook=14_06.xlsx&amp;sheet=U0&amp;row=1987&amp;col=6&amp;number=3.3&amp;sourceID=14","3.3")</f>
        <v>3.3</v>
      </c>
      <c r="G1987" s="4" t="str">
        <f>HYPERLINK("http://141.218.60.56/~jnz1568/getInfo.php?workbook=14_06.xlsx&amp;sheet=U0&amp;row=1987&amp;col=7&amp;number=1.04&amp;sourceID=14","1.04")</f>
        <v>1.04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HYPERLINK("http://141.218.60.56/~jnz1568/getInfo.php?workbook=14_06.xlsx&amp;sheet=U0&amp;row=1988&amp;col=6&amp;number=3.4&amp;sourceID=14","3.4")</f>
        <v>3.4</v>
      </c>
      <c r="G1988" s="4" t="str">
        <f>HYPERLINK("http://141.218.60.56/~jnz1568/getInfo.php?workbook=14_06.xlsx&amp;sheet=U0&amp;row=1988&amp;col=7&amp;number=1.04&amp;sourceID=14","1.04")</f>
        <v>1.04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HYPERLINK("http://141.218.60.56/~jnz1568/getInfo.php?workbook=14_06.xlsx&amp;sheet=U0&amp;row=1989&amp;col=6&amp;number=3.5&amp;sourceID=14","3.5")</f>
        <v>3.5</v>
      </c>
      <c r="G1989" s="4" t="str">
        <f>HYPERLINK("http://141.218.60.56/~jnz1568/getInfo.php?workbook=14_06.xlsx&amp;sheet=U0&amp;row=1989&amp;col=7&amp;number=1.05&amp;sourceID=14","1.05")</f>
        <v>1.05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HYPERLINK("http://141.218.60.56/~jnz1568/getInfo.php?workbook=14_06.xlsx&amp;sheet=U0&amp;row=1990&amp;col=6&amp;number=3.6&amp;sourceID=14","3.6")</f>
        <v>3.6</v>
      </c>
      <c r="G1990" s="4" t="str">
        <f>HYPERLINK("http://141.218.60.56/~jnz1568/getInfo.php?workbook=14_06.xlsx&amp;sheet=U0&amp;row=1990&amp;col=7&amp;number=1.05&amp;sourceID=14","1.05")</f>
        <v>1.05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HYPERLINK("http://141.218.60.56/~jnz1568/getInfo.php?workbook=14_06.xlsx&amp;sheet=U0&amp;row=1991&amp;col=6&amp;number=3.7&amp;sourceID=14","3.7")</f>
        <v>3.7</v>
      </c>
      <c r="G1991" s="4" t="str">
        <f>HYPERLINK("http://141.218.60.56/~jnz1568/getInfo.php?workbook=14_06.xlsx&amp;sheet=U0&amp;row=1991&amp;col=7&amp;number=1.05&amp;sourceID=14","1.05")</f>
        <v>1.05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HYPERLINK("http://141.218.60.56/~jnz1568/getInfo.php?workbook=14_06.xlsx&amp;sheet=U0&amp;row=1992&amp;col=6&amp;number=3.8&amp;sourceID=14","3.8")</f>
        <v>3.8</v>
      </c>
      <c r="G1992" s="4" t="str">
        <f>HYPERLINK("http://141.218.60.56/~jnz1568/getInfo.php?workbook=14_06.xlsx&amp;sheet=U0&amp;row=1992&amp;col=7&amp;number=1.05&amp;sourceID=14","1.05")</f>
        <v>1.05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HYPERLINK("http://141.218.60.56/~jnz1568/getInfo.php?workbook=14_06.xlsx&amp;sheet=U0&amp;row=1993&amp;col=6&amp;number=3.9&amp;sourceID=14","3.9")</f>
        <v>3.9</v>
      </c>
      <c r="G1993" s="4" t="str">
        <f>HYPERLINK("http://141.218.60.56/~jnz1568/getInfo.php?workbook=14_06.xlsx&amp;sheet=U0&amp;row=1993&amp;col=7&amp;number=1.05&amp;sourceID=14","1.05")</f>
        <v>1.05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HYPERLINK("http://141.218.60.56/~jnz1568/getInfo.php?workbook=14_06.xlsx&amp;sheet=U0&amp;row=1994&amp;col=6&amp;number=4&amp;sourceID=14","4")</f>
        <v>4</v>
      </c>
      <c r="G1994" s="4" t="str">
        <f>HYPERLINK("http://141.218.60.56/~jnz1568/getInfo.php?workbook=14_06.xlsx&amp;sheet=U0&amp;row=1994&amp;col=7&amp;number=1.05&amp;sourceID=14","1.05")</f>
        <v>1.05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HYPERLINK("http://141.218.60.56/~jnz1568/getInfo.php?workbook=14_06.xlsx&amp;sheet=U0&amp;row=1995&amp;col=6&amp;number=4.1&amp;sourceID=14","4.1")</f>
        <v>4.1</v>
      </c>
      <c r="G1995" s="4" t="str">
        <f>HYPERLINK("http://141.218.60.56/~jnz1568/getInfo.php?workbook=14_06.xlsx&amp;sheet=U0&amp;row=1995&amp;col=7&amp;number=1.05&amp;sourceID=14","1.05")</f>
        <v>1.05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HYPERLINK("http://141.218.60.56/~jnz1568/getInfo.php?workbook=14_06.xlsx&amp;sheet=U0&amp;row=1996&amp;col=6&amp;number=4.2&amp;sourceID=14","4.2")</f>
        <v>4.2</v>
      </c>
      <c r="G1996" s="4" t="str">
        <f>HYPERLINK("http://141.218.60.56/~jnz1568/getInfo.php?workbook=14_06.xlsx&amp;sheet=U0&amp;row=1996&amp;col=7&amp;number=1.05&amp;sourceID=14","1.05")</f>
        <v>1.05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HYPERLINK("http://141.218.60.56/~jnz1568/getInfo.php?workbook=14_06.xlsx&amp;sheet=U0&amp;row=1997&amp;col=6&amp;number=4.3&amp;sourceID=14","4.3")</f>
        <v>4.3</v>
      </c>
      <c r="G1997" s="4" t="str">
        <f>HYPERLINK("http://141.218.60.56/~jnz1568/getInfo.php?workbook=14_06.xlsx&amp;sheet=U0&amp;row=1997&amp;col=7&amp;number=1.05&amp;sourceID=14","1.05")</f>
        <v>1.05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HYPERLINK("http://141.218.60.56/~jnz1568/getInfo.php?workbook=14_06.xlsx&amp;sheet=U0&amp;row=1998&amp;col=6&amp;number=4.4&amp;sourceID=14","4.4")</f>
        <v>4.4</v>
      </c>
      <c r="G1998" s="4" t="str">
        <f>HYPERLINK("http://141.218.60.56/~jnz1568/getInfo.php?workbook=14_06.xlsx&amp;sheet=U0&amp;row=1998&amp;col=7&amp;number=1.05&amp;sourceID=14","1.05")</f>
        <v>1.05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HYPERLINK("http://141.218.60.56/~jnz1568/getInfo.php?workbook=14_06.xlsx&amp;sheet=U0&amp;row=1999&amp;col=6&amp;number=4.5&amp;sourceID=14","4.5")</f>
        <v>4.5</v>
      </c>
      <c r="G1999" s="4" t="str">
        <f>HYPERLINK("http://141.218.60.56/~jnz1568/getInfo.php?workbook=14_06.xlsx&amp;sheet=U0&amp;row=1999&amp;col=7&amp;number=1.06&amp;sourceID=14","1.06")</f>
        <v>1.06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HYPERLINK("http://141.218.60.56/~jnz1568/getInfo.php?workbook=14_06.xlsx&amp;sheet=U0&amp;row=2000&amp;col=6&amp;number=4.6&amp;sourceID=14","4.6")</f>
        <v>4.6</v>
      </c>
      <c r="G2000" s="4" t="str">
        <f>HYPERLINK("http://141.218.60.56/~jnz1568/getInfo.php?workbook=14_06.xlsx&amp;sheet=U0&amp;row=2000&amp;col=7&amp;number=1.06&amp;sourceID=14","1.06")</f>
        <v>1.06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HYPERLINK("http://141.218.60.56/~jnz1568/getInfo.php?workbook=14_06.xlsx&amp;sheet=U0&amp;row=2001&amp;col=6&amp;number=4.7&amp;sourceID=14","4.7")</f>
        <v>4.7</v>
      </c>
      <c r="G2001" s="4" t="str">
        <f>HYPERLINK("http://141.218.60.56/~jnz1568/getInfo.php?workbook=14_06.xlsx&amp;sheet=U0&amp;row=2001&amp;col=7&amp;number=1.06&amp;sourceID=14","1.06")</f>
        <v>1.06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HYPERLINK("http://141.218.60.56/~jnz1568/getInfo.php?workbook=14_06.xlsx&amp;sheet=U0&amp;row=2002&amp;col=6&amp;number=4.8&amp;sourceID=14","4.8")</f>
        <v>4.8</v>
      </c>
      <c r="G2002" s="4" t="str">
        <f>HYPERLINK("http://141.218.60.56/~jnz1568/getInfo.php?workbook=14_06.xlsx&amp;sheet=U0&amp;row=2002&amp;col=7&amp;number=1.07&amp;sourceID=14","1.07")</f>
        <v>1.07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HYPERLINK("http://141.218.60.56/~jnz1568/getInfo.php?workbook=14_06.xlsx&amp;sheet=U0&amp;row=2003&amp;col=6&amp;number=4.9&amp;sourceID=14","4.9")</f>
        <v>4.9</v>
      </c>
      <c r="G2003" s="4" t="str">
        <f>HYPERLINK("http://141.218.60.56/~jnz1568/getInfo.php?workbook=14_06.xlsx&amp;sheet=U0&amp;row=2003&amp;col=7&amp;number=1.07&amp;sourceID=14","1.07")</f>
        <v>1.07</v>
      </c>
    </row>
    <row r="2004" spans="1:7">
      <c r="A2004" s="3">
        <v>14</v>
      </c>
      <c r="B2004" s="3">
        <v>6</v>
      </c>
      <c r="C2004" s="3">
        <v>3</v>
      </c>
      <c r="D2004" s="3">
        <v>15</v>
      </c>
      <c r="E2004" s="3">
        <v>1</v>
      </c>
      <c r="F2004" s="4" t="str">
        <f>HYPERLINK("http://141.218.60.56/~jnz1568/getInfo.php?workbook=14_06.xlsx&amp;sheet=U0&amp;row=2004&amp;col=6&amp;number=3&amp;sourceID=14","3")</f>
        <v>3</v>
      </c>
      <c r="G2004" s="4" t="str">
        <f>HYPERLINK("http://141.218.60.56/~jnz1568/getInfo.php?workbook=14_06.xlsx&amp;sheet=U0&amp;row=2004&amp;col=7&amp;number=0.0165&amp;sourceID=14","0.0165")</f>
        <v>0.0165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HYPERLINK("http://141.218.60.56/~jnz1568/getInfo.php?workbook=14_06.xlsx&amp;sheet=U0&amp;row=2005&amp;col=6&amp;number=3.1&amp;sourceID=14","3.1")</f>
        <v>3.1</v>
      </c>
      <c r="G2005" s="4" t="str">
        <f>HYPERLINK("http://141.218.60.56/~jnz1568/getInfo.php?workbook=14_06.xlsx&amp;sheet=U0&amp;row=2005&amp;col=7&amp;number=0.0165&amp;sourceID=14","0.0165")</f>
        <v>0.0165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HYPERLINK("http://141.218.60.56/~jnz1568/getInfo.php?workbook=14_06.xlsx&amp;sheet=U0&amp;row=2006&amp;col=6&amp;number=3.2&amp;sourceID=14","3.2")</f>
        <v>3.2</v>
      </c>
      <c r="G2006" s="4" t="str">
        <f>HYPERLINK("http://141.218.60.56/~jnz1568/getInfo.php?workbook=14_06.xlsx&amp;sheet=U0&amp;row=2006&amp;col=7&amp;number=0.0165&amp;sourceID=14","0.0165")</f>
        <v>0.0165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HYPERLINK("http://141.218.60.56/~jnz1568/getInfo.php?workbook=14_06.xlsx&amp;sheet=U0&amp;row=2007&amp;col=6&amp;number=3.3&amp;sourceID=14","3.3")</f>
        <v>3.3</v>
      </c>
      <c r="G2007" s="4" t="str">
        <f>HYPERLINK("http://141.218.60.56/~jnz1568/getInfo.php?workbook=14_06.xlsx&amp;sheet=U0&amp;row=2007&amp;col=7&amp;number=0.0165&amp;sourceID=14","0.0165")</f>
        <v>0.0165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HYPERLINK("http://141.218.60.56/~jnz1568/getInfo.php?workbook=14_06.xlsx&amp;sheet=U0&amp;row=2008&amp;col=6&amp;number=3.4&amp;sourceID=14","3.4")</f>
        <v>3.4</v>
      </c>
      <c r="G2008" s="4" t="str">
        <f>HYPERLINK("http://141.218.60.56/~jnz1568/getInfo.php?workbook=14_06.xlsx&amp;sheet=U0&amp;row=2008&amp;col=7&amp;number=0.0165&amp;sourceID=14","0.0165")</f>
        <v>0.0165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HYPERLINK("http://141.218.60.56/~jnz1568/getInfo.php?workbook=14_06.xlsx&amp;sheet=U0&amp;row=2009&amp;col=6&amp;number=3.5&amp;sourceID=14","3.5")</f>
        <v>3.5</v>
      </c>
      <c r="G2009" s="4" t="str">
        <f>HYPERLINK("http://141.218.60.56/~jnz1568/getInfo.php?workbook=14_06.xlsx&amp;sheet=U0&amp;row=2009&amp;col=7&amp;number=0.0165&amp;sourceID=14","0.0165")</f>
        <v>0.0165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HYPERLINK("http://141.218.60.56/~jnz1568/getInfo.php?workbook=14_06.xlsx&amp;sheet=U0&amp;row=2010&amp;col=6&amp;number=3.6&amp;sourceID=14","3.6")</f>
        <v>3.6</v>
      </c>
      <c r="G2010" s="4" t="str">
        <f>HYPERLINK("http://141.218.60.56/~jnz1568/getInfo.php?workbook=14_06.xlsx&amp;sheet=U0&amp;row=2010&amp;col=7&amp;number=0.0165&amp;sourceID=14","0.0165")</f>
        <v>0.0165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HYPERLINK("http://141.218.60.56/~jnz1568/getInfo.php?workbook=14_06.xlsx&amp;sheet=U0&amp;row=2011&amp;col=6&amp;number=3.7&amp;sourceID=14","3.7")</f>
        <v>3.7</v>
      </c>
      <c r="G2011" s="4" t="str">
        <f>HYPERLINK("http://141.218.60.56/~jnz1568/getInfo.php?workbook=14_06.xlsx&amp;sheet=U0&amp;row=2011&amp;col=7&amp;number=0.0165&amp;sourceID=14","0.0165")</f>
        <v>0.0165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HYPERLINK("http://141.218.60.56/~jnz1568/getInfo.php?workbook=14_06.xlsx&amp;sheet=U0&amp;row=2012&amp;col=6&amp;number=3.8&amp;sourceID=14","3.8")</f>
        <v>3.8</v>
      </c>
      <c r="G2012" s="4" t="str">
        <f>HYPERLINK("http://141.218.60.56/~jnz1568/getInfo.php?workbook=14_06.xlsx&amp;sheet=U0&amp;row=2012&amp;col=7&amp;number=0.0165&amp;sourceID=14","0.0165")</f>
        <v>0.0165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HYPERLINK("http://141.218.60.56/~jnz1568/getInfo.php?workbook=14_06.xlsx&amp;sheet=U0&amp;row=2013&amp;col=6&amp;number=3.9&amp;sourceID=14","3.9")</f>
        <v>3.9</v>
      </c>
      <c r="G2013" s="4" t="str">
        <f>HYPERLINK("http://141.218.60.56/~jnz1568/getInfo.php?workbook=14_06.xlsx&amp;sheet=U0&amp;row=2013&amp;col=7&amp;number=0.0165&amp;sourceID=14","0.0165")</f>
        <v>0.0165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HYPERLINK("http://141.218.60.56/~jnz1568/getInfo.php?workbook=14_06.xlsx&amp;sheet=U0&amp;row=2014&amp;col=6&amp;number=4&amp;sourceID=14","4")</f>
        <v>4</v>
      </c>
      <c r="G2014" s="4" t="str">
        <f>HYPERLINK("http://141.218.60.56/~jnz1568/getInfo.php?workbook=14_06.xlsx&amp;sheet=U0&amp;row=2014&amp;col=7&amp;number=0.0165&amp;sourceID=14","0.0165")</f>
        <v>0.0165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HYPERLINK("http://141.218.60.56/~jnz1568/getInfo.php?workbook=14_06.xlsx&amp;sheet=U0&amp;row=2015&amp;col=6&amp;number=4.1&amp;sourceID=14","4.1")</f>
        <v>4.1</v>
      </c>
      <c r="G2015" s="4" t="str">
        <f>HYPERLINK("http://141.218.60.56/~jnz1568/getInfo.php?workbook=14_06.xlsx&amp;sheet=U0&amp;row=2015&amp;col=7&amp;number=0.0165&amp;sourceID=14","0.0165")</f>
        <v>0.0165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HYPERLINK("http://141.218.60.56/~jnz1568/getInfo.php?workbook=14_06.xlsx&amp;sheet=U0&amp;row=2016&amp;col=6&amp;number=4.2&amp;sourceID=14","4.2")</f>
        <v>4.2</v>
      </c>
      <c r="G2016" s="4" t="str">
        <f>HYPERLINK("http://141.218.60.56/~jnz1568/getInfo.php?workbook=14_06.xlsx&amp;sheet=U0&amp;row=2016&amp;col=7&amp;number=0.0165&amp;sourceID=14","0.0165")</f>
        <v>0.0165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HYPERLINK("http://141.218.60.56/~jnz1568/getInfo.php?workbook=14_06.xlsx&amp;sheet=U0&amp;row=2017&amp;col=6&amp;number=4.3&amp;sourceID=14","4.3")</f>
        <v>4.3</v>
      </c>
      <c r="G2017" s="4" t="str">
        <f>HYPERLINK("http://141.218.60.56/~jnz1568/getInfo.php?workbook=14_06.xlsx&amp;sheet=U0&amp;row=2017&amp;col=7&amp;number=0.0164&amp;sourceID=14","0.0164")</f>
        <v>0.0164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HYPERLINK("http://141.218.60.56/~jnz1568/getInfo.php?workbook=14_06.xlsx&amp;sheet=U0&amp;row=2018&amp;col=6&amp;number=4.4&amp;sourceID=14","4.4")</f>
        <v>4.4</v>
      </c>
      <c r="G2018" s="4" t="str">
        <f>HYPERLINK("http://141.218.60.56/~jnz1568/getInfo.php?workbook=14_06.xlsx&amp;sheet=U0&amp;row=2018&amp;col=7&amp;number=0.0164&amp;sourceID=14","0.0164")</f>
        <v>0.0164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HYPERLINK("http://141.218.60.56/~jnz1568/getInfo.php?workbook=14_06.xlsx&amp;sheet=U0&amp;row=2019&amp;col=6&amp;number=4.5&amp;sourceID=14","4.5")</f>
        <v>4.5</v>
      </c>
      <c r="G2019" s="4" t="str">
        <f>HYPERLINK("http://141.218.60.56/~jnz1568/getInfo.php?workbook=14_06.xlsx&amp;sheet=U0&amp;row=2019&amp;col=7&amp;number=0.0164&amp;sourceID=14","0.0164")</f>
        <v>0.0164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HYPERLINK("http://141.218.60.56/~jnz1568/getInfo.php?workbook=14_06.xlsx&amp;sheet=U0&amp;row=2020&amp;col=6&amp;number=4.6&amp;sourceID=14","4.6")</f>
        <v>4.6</v>
      </c>
      <c r="G2020" s="4" t="str">
        <f>HYPERLINK("http://141.218.60.56/~jnz1568/getInfo.php?workbook=14_06.xlsx&amp;sheet=U0&amp;row=2020&amp;col=7&amp;number=0.0164&amp;sourceID=14","0.0164")</f>
        <v>0.0164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HYPERLINK("http://141.218.60.56/~jnz1568/getInfo.php?workbook=14_06.xlsx&amp;sheet=U0&amp;row=2021&amp;col=6&amp;number=4.7&amp;sourceID=14","4.7")</f>
        <v>4.7</v>
      </c>
      <c r="G2021" s="4" t="str">
        <f>HYPERLINK("http://141.218.60.56/~jnz1568/getInfo.php?workbook=14_06.xlsx&amp;sheet=U0&amp;row=2021&amp;col=7&amp;number=0.0163&amp;sourceID=14","0.0163")</f>
        <v>0.0163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HYPERLINK("http://141.218.60.56/~jnz1568/getInfo.php?workbook=14_06.xlsx&amp;sheet=U0&amp;row=2022&amp;col=6&amp;number=4.8&amp;sourceID=14","4.8")</f>
        <v>4.8</v>
      </c>
      <c r="G2022" s="4" t="str">
        <f>HYPERLINK("http://141.218.60.56/~jnz1568/getInfo.php?workbook=14_06.xlsx&amp;sheet=U0&amp;row=2022&amp;col=7&amp;number=0.0163&amp;sourceID=14","0.0163")</f>
        <v>0.0163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HYPERLINK("http://141.218.60.56/~jnz1568/getInfo.php?workbook=14_06.xlsx&amp;sheet=U0&amp;row=2023&amp;col=6&amp;number=4.9&amp;sourceID=14","4.9")</f>
        <v>4.9</v>
      </c>
      <c r="G2023" s="4" t="str">
        <f>HYPERLINK("http://141.218.60.56/~jnz1568/getInfo.php?workbook=14_06.xlsx&amp;sheet=U0&amp;row=2023&amp;col=7&amp;number=0.0162&amp;sourceID=14","0.0162")</f>
        <v>0.0162</v>
      </c>
    </row>
    <row r="2024" spans="1:7">
      <c r="A2024" s="3">
        <v>14</v>
      </c>
      <c r="B2024" s="3">
        <v>6</v>
      </c>
      <c r="C2024" s="3">
        <v>3</v>
      </c>
      <c r="D2024" s="3">
        <v>16</v>
      </c>
      <c r="E2024" s="3">
        <v>1</v>
      </c>
      <c r="F2024" s="4" t="str">
        <f>HYPERLINK("http://141.218.60.56/~jnz1568/getInfo.php?workbook=14_06.xlsx&amp;sheet=U0&amp;row=2024&amp;col=6&amp;number=3&amp;sourceID=14","3")</f>
        <v>3</v>
      </c>
      <c r="G2024" s="4" t="str">
        <f>HYPERLINK("http://141.218.60.56/~jnz1568/getInfo.php?workbook=14_06.xlsx&amp;sheet=U0&amp;row=2024&amp;col=7&amp;number=0.00417&amp;sourceID=14","0.00417")</f>
        <v>0.00417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HYPERLINK("http://141.218.60.56/~jnz1568/getInfo.php?workbook=14_06.xlsx&amp;sheet=U0&amp;row=2025&amp;col=6&amp;number=3.1&amp;sourceID=14","3.1")</f>
        <v>3.1</v>
      </c>
      <c r="G2025" s="4" t="str">
        <f>HYPERLINK("http://141.218.60.56/~jnz1568/getInfo.php?workbook=14_06.xlsx&amp;sheet=U0&amp;row=2025&amp;col=7&amp;number=0.00417&amp;sourceID=14","0.00417")</f>
        <v>0.00417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HYPERLINK("http://141.218.60.56/~jnz1568/getInfo.php?workbook=14_06.xlsx&amp;sheet=U0&amp;row=2026&amp;col=6&amp;number=3.2&amp;sourceID=14","3.2")</f>
        <v>3.2</v>
      </c>
      <c r="G2026" s="4" t="str">
        <f>HYPERLINK("http://141.218.60.56/~jnz1568/getInfo.php?workbook=14_06.xlsx&amp;sheet=U0&amp;row=2026&amp;col=7&amp;number=0.00417&amp;sourceID=14","0.00417")</f>
        <v>0.00417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HYPERLINK("http://141.218.60.56/~jnz1568/getInfo.php?workbook=14_06.xlsx&amp;sheet=U0&amp;row=2027&amp;col=6&amp;number=3.3&amp;sourceID=14","3.3")</f>
        <v>3.3</v>
      </c>
      <c r="G2027" s="4" t="str">
        <f>HYPERLINK("http://141.218.60.56/~jnz1568/getInfo.php?workbook=14_06.xlsx&amp;sheet=U0&amp;row=2027&amp;col=7&amp;number=0.00417&amp;sourceID=14","0.00417")</f>
        <v>0.00417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HYPERLINK("http://141.218.60.56/~jnz1568/getInfo.php?workbook=14_06.xlsx&amp;sheet=U0&amp;row=2028&amp;col=6&amp;number=3.4&amp;sourceID=14","3.4")</f>
        <v>3.4</v>
      </c>
      <c r="G2028" s="4" t="str">
        <f>HYPERLINK("http://141.218.60.56/~jnz1568/getInfo.php?workbook=14_06.xlsx&amp;sheet=U0&amp;row=2028&amp;col=7&amp;number=0.00417&amp;sourceID=14","0.00417")</f>
        <v>0.00417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HYPERLINK("http://141.218.60.56/~jnz1568/getInfo.php?workbook=14_06.xlsx&amp;sheet=U0&amp;row=2029&amp;col=6&amp;number=3.5&amp;sourceID=14","3.5")</f>
        <v>3.5</v>
      </c>
      <c r="G2029" s="4" t="str">
        <f>HYPERLINK("http://141.218.60.56/~jnz1568/getInfo.php?workbook=14_06.xlsx&amp;sheet=U0&amp;row=2029&amp;col=7&amp;number=0.00417&amp;sourceID=14","0.00417")</f>
        <v>0.00417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HYPERLINK("http://141.218.60.56/~jnz1568/getInfo.php?workbook=14_06.xlsx&amp;sheet=U0&amp;row=2030&amp;col=6&amp;number=3.6&amp;sourceID=14","3.6")</f>
        <v>3.6</v>
      </c>
      <c r="G2030" s="4" t="str">
        <f>HYPERLINK("http://141.218.60.56/~jnz1568/getInfo.php?workbook=14_06.xlsx&amp;sheet=U0&amp;row=2030&amp;col=7&amp;number=0.00417&amp;sourceID=14","0.00417")</f>
        <v>0.00417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HYPERLINK("http://141.218.60.56/~jnz1568/getInfo.php?workbook=14_06.xlsx&amp;sheet=U0&amp;row=2031&amp;col=6&amp;number=3.7&amp;sourceID=14","3.7")</f>
        <v>3.7</v>
      </c>
      <c r="G2031" s="4" t="str">
        <f>HYPERLINK("http://141.218.60.56/~jnz1568/getInfo.php?workbook=14_06.xlsx&amp;sheet=U0&amp;row=2031&amp;col=7&amp;number=0.00417&amp;sourceID=14","0.00417")</f>
        <v>0.00417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HYPERLINK("http://141.218.60.56/~jnz1568/getInfo.php?workbook=14_06.xlsx&amp;sheet=U0&amp;row=2032&amp;col=6&amp;number=3.8&amp;sourceID=14","3.8")</f>
        <v>3.8</v>
      </c>
      <c r="G2032" s="4" t="str">
        <f>HYPERLINK("http://141.218.60.56/~jnz1568/getInfo.php?workbook=14_06.xlsx&amp;sheet=U0&amp;row=2032&amp;col=7&amp;number=0.00417&amp;sourceID=14","0.00417")</f>
        <v>0.00417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HYPERLINK("http://141.218.60.56/~jnz1568/getInfo.php?workbook=14_06.xlsx&amp;sheet=U0&amp;row=2033&amp;col=6&amp;number=3.9&amp;sourceID=14","3.9")</f>
        <v>3.9</v>
      </c>
      <c r="G2033" s="4" t="str">
        <f>HYPERLINK("http://141.218.60.56/~jnz1568/getInfo.php?workbook=14_06.xlsx&amp;sheet=U0&amp;row=2033&amp;col=7&amp;number=0.00417&amp;sourceID=14","0.00417")</f>
        <v>0.00417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HYPERLINK("http://141.218.60.56/~jnz1568/getInfo.php?workbook=14_06.xlsx&amp;sheet=U0&amp;row=2034&amp;col=6&amp;number=4&amp;sourceID=14","4")</f>
        <v>4</v>
      </c>
      <c r="G2034" s="4" t="str">
        <f>HYPERLINK("http://141.218.60.56/~jnz1568/getInfo.php?workbook=14_06.xlsx&amp;sheet=U0&amp;row=2034&amp;col=7&amp;number=0.00417&amp;sourceID=14","0.00417")</f>
        <v>0.00417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HYPERLINK("http://141.218.60.56/~jnz1568/getInfo.php?workbook=14_06.xlsx&amp;sheet=U0&amp;row=2035&amp;col=6&amp;number=4.1&amp;sourceID=14","4.1")</f>
        <v>4.1</v>
      </c>
      <c r="G2035" s="4" t="str">
        <f>HYPERLINK("http://141.218.60.56/~jnz1568/getInfo.php?workbook=14_06.xlsx&amp;sheet=U0&amp;row=2035&amp;col=7&amp;number=0.00417&amp;sourceID=14","0.00417")</f>
        <v>0.00417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HYPERLINK("http://141.218.60.56/~jnz1568/getInfo.php?workbook=14_06.xlsx&amp;sheet=U0&amp;row=2036&amp;col=6&amp;number=4.2&amp;sourceID=14","4.2")</f>
        <v>4.2</v>
      </c>
      <c r="G2036" s="4" t="str">
        <f>HYPERLINK("http://141.218.60.56/~jnz1568/getInfo.php?workbook=14_06.xlsx&amp;sheet=U0&amp;row=2036&amp;col=7&amp;number=0.00417&amp;sourceID=14","0.00417")</f>
        <v>0.00417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HYPERLINK("http://141.218.60.56/~jnz1568/getInfo.php?workbook=14_06.xlsx&amp;sheet=U0&amp;row=2037&amp;col=6&amp;number=4.3&amp;sourceID=14","4.3")</f>
        <v>4.3</v>
      </c>
      <c r="G2037" s="4" t="str">
        <f>HYPERLINK("http://141.218.60.56/~jnz1568/getInfo.php?workbook=14_06.xlsx&amp;sheet=U0&amp;row=2037&amp;col=7&amp;number=0.00417&amp;sourceID=14","0.00417")</f>
        <v>0.00417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HYPERLINK("http://141.218.60.56/~jnz1568/getInfo.php?workbook=14_06.xlsx&amp;sheet=U0&amp;row=2038&amp;col=6&amp;number=4.4&amp;sourceID=14","4.4")</f>
        <v>4.4</v>
      </c>
      <c r="G2038" s="4" t="str">
        <f>HYPERLINK("http://141.218.60.56/~jnz1568/getInfo.php?workbook=14_06.xlsx&amp;sheet=U0&amp;row=2038&amp;col=7&amp;number=0.00417&amp;sourceID=14","0.00417")</f>
        <v>0.00417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HYPERLINK("http://141.218.60.56/~jnz1568/getInfo.php?workbook=14_06.xlsx&amp;sheet=U0&amp;row=2039&amp;col=6&amp;number=4.5&amp;sourceID=14","4.5")</f>
        <v>4.5</v>
      </c>
      <c r="G2039" s="4" t="str">
        <f>HYPERLINK("http://141.218.60.56/~jnz1568/getInfo.php?workbook=14_06.xlsx&amp;sheet=U0&amp;row=2039&amp;col=7&amp;number=0.00417&amp;sourceID=14","0.00417")</f>
        <v>0.00417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HYPERLINK("http://141.218.60.56/~jnz1568/getInfo.php?workbook=14_06.xlsx&amp;sheet=U0&amp;row=2040&amp;col=6&amp;number=4.6&amp;sourceID=14","4.6")</f>
        <v>4.6</v>
      </c>
      <c r="G2040" s="4" t="str">
        <f>HYPERLINK("http://141.218.60.56/~jnz1568/getInfo.php?workbook=14_06.xlsx&amp;sheet=U0&amp;row=2040&amp;col=7&amp;number=0.00417&amp;sourceID=14","0.00417")</f>
        <v>0.00417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HYPERLINK("http://141.218.60.56/~jnz1568/getInfo.php?workbook=14_06.xlsx&amp;sheet=U0&amp;row=2041&amp;col=6&amp;number=4.7&amp;sourceID=14","4.7")</f>
        <v>4.7</v>
      </c>
      <c r="G2041" s="4" t="str">
        <f>HYPERLINK("http://141.218.60.56/~jnz1568/getInfo.php?workbook=14_06.xlsx&amp;sheet=U0&amp;row=2041&amp;col=7&amp;number=0.00417&amp;sourceID=14","0.00417")</f>
        <v>0.00417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HYPERLINK("http://141.218.60.56/~jnz1568/getInfo.php?workbook=14_06.xlsx&amp;sheet=U0&amp;row=2042&amp;col=6&amp;number=4.8&amp;sourceID=14","4.8")</f>
        <v>4.8</v>
      </c>
      <c r="G2042" s="4" t="str">
        <f>HYPERLINK("http://141.218.60.56/~jnz1568/getInfo.php?workbook=14_06.xlsx&amp;sheet=U0&amp;row=2042&amp;col=7&amp;number=0.00417&amp;sourceID=14","0.00417")</f>
        <v>0.00417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HYPERLINK("http://141.218.60.56/~jnz1568/getInfo.php?workbook=14_06.xlsx&amp;sheet=U0&amp;row=2043&amp;col=6&amp;number=4.9&amp;sourceID=14","4.9")</f>
        <v>4.9</v>
      </c>
      <c r="G2043" s="4" t="str">
        <f>HYPERLINK("http://141.218.60.56/~jnz1568/getInfo.php?workbook=14_06.xlsx&amp;sheet=U0&amp;row=2043&amp;col=7&amp;number=0.00417&amp;sourceID=14","0.00417")</f>
        <v>0.00417</v>
      </c>
    </row>
    <row r="2044" spans="1:7">
      <c r="A2044" s="3">
        <v>14</v>
      </c>
      <c r="B2044" s="3">
        <v>6</v>
      </c>
      <c r="C2044" s="3">
        <v>3</v>
      </c>
      <c r="D2044" s="3">
        <v>17</v>
      </c>
      <c r="E2044" s="3">
        <v>1</v>
      </c>
      <c r="F2044" s="4" t="str">
        <f>HYPERLINK("http://141.218.60.56/~jnz1568/getInfo.php?workbook=14_06.xlsx&amp;sheet=U0&amp;row=2044&amp;col=6&amp;number=3&amp;sourceID=14","3")</f>
        <v>3</v>
      </c>
      <c r="G2044" s="4" t="str">
        <f>HYPERLINK("http://141.218.60.56/~jnz1568/getInfo.php?workbook=14_06.xlsx&amp;sheet=U0&amp;row=2044&amp;col=7&amp;number=0.00237&amp;sourceID=14","0.00237")</f>
        <v>0.00237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HYPERLINK("http://141.218.60.56/~jnz1568/getInfo.php?workbook=14_06.xlsx&amp;sheet=U0&amp;row=2045&amp;col=6&amp;number=3.1&amp;sourceID=14","3.1")</f>
        <v>3.1</v>
      </c>
      <c r="G2045" s="4" t="str">
        <f>HYPERLINK("http://141.218.60.56/~jnz1568/getInfo.php?workbook=14_06.xlsx&amp;sheet=U0&amp;row=2045&amp;col=7&amp;number=0.00237&amp;sourceID=14","0.00237")</f>
        <v>0.00237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HYPERLINK("http://141.218.60.56/~jnz1568/getInfo.php?workbook=14_06.xlsx&amp;sheet=U0&amp;row=2046&amp;col=6&amp;number=3.2&amp;sourceID=14","3.2")</f>
        <v>3.2</v>
      </c>
      <c r="G2046" s="4" t="str">
        <f>HYPERLINK("http://141.218.60.56/~jnz1568/getInfo.php?workbook=14_06.xlsx&amp;sheet=U0&amp;row=2046&amp;col=7&amp;number=0.00237&amp;sourceID=14","0.00237")</f>
        <v>0.00237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HYPERLINK("http://141.218.60.56/~jnz1568/getInfo.php?workbook=14_06.xlsx&amp;sheet=U0&amp;row=2047&amp;col=6&amp;number=3.3&amp;sourceID=14","3.3")</f>
        <v>3.3</v>
      </c>
      <c r="G2047" s="4" t="str">
        <f>HYPERLINK("http://141.218.60.56/~jnz1568/getInfo.php?workbook=14_06.xlsx&amp;sheet=U0&amp;row=2047&amp;col=7&amp;number=0.00237&amp;sourceID=14","0.00237")</f>
        <v>0.00237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HYPERLINK("http://141.218.60.56/~jnz1568/getInfo.php?workbook=14_06.xlsx&amp;sheet=U0&amp;row=2048&amp;col=6&amp;number=3.4&amp;sourceID=14","3.4")</f>
        <v>3.4</v>
      </c>
      <c r="G2048" s="4" t="str">
        <f>HYPERLINK("http://141.218.60.56/~jnz1568/getInfo.php?workbook=14_06.xlsx&amp;sheet=U0&amp;row=2048&amp;col=7&amp;number=0.00237&amp;sourceID=14","0.00237")</f>
        <v>0.00237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HYPERLINK("http://141.218.60.56/~jnz1568/getInfo.php?workbook=14_06.xlsx&amp;sheet=U0&amp;row=2049&amp;col=6&amp;number=3.5&amp;sourceID=14","3.5")</f>
        <v>3.5</v>
      </c>
      <c r="G2049" s="4" t="str">
        <f>HYPERLINK("http://141.218.60.56/~jnz1568/getInfo.php?workbook=14_06.xlsx&amp;sheet=U0&amp;row=2049&amp;col=7&amp;number=0.00237&amp;sourceID=14","0.00237")</f>
        <v>0.00237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HYPERLINK("http://141.218.60.56/~jnz1568/getInfo.php?workbook=14_06.xlsx&amp;sheet=U0&amp;row=2050&amp;col=6&amp;number=3.6&amp;sourceID=14","3.6")</f>
        <v>3.6</v>
      </c>
      <c r="G2050" s="4" t="str">
        <f>HYPERLINK("http://141.218.60.56/~jnz1568/getInfo.php?workbook=14_06.xlsx&amp;sheet=U0&amp;row=2050&amp;col=7&amp;number=0.00237&amp;sourceID=14","0.00237")</f>
        <v>0.00237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HYPERLINK("http://141.218.60.56/~jnz1568/getInfo.php?workbook=14_06.xlsx&amp;sheet=U0&amp;row=2051&amp;col=6&amp;number=3.7&amp;sourceID=14","3.7")</f>
        <v>3.7</v>
      </c>
      <c r="G2051" s="4" t="str">
        <f>HYPERLINK("http://141.218.60.56/~jnz1568/getInfo.php?workbook=14_06.xlsx&amp;sheet=U0&amp;row=2051&amp;col=7&amp;number=0.00237&amp;sourceID=14","0.00237")</f>
        <v>0.00237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HYPERLINK("http://141.218.60.56/~jnz1568/getInfo.php?workbook=14_06.xlsx&amp;sheet=U0&amp;row=2052&amp;col=6&amp;number=3.8&amp;sourceID=14","3.8")</f>
        <v>3.8</v>
      </c>
      <c r="G2052" s="4" t="str">
        <f>HYPERLINK("http://141.218.60.56/~jnz1568/getInfo.php?workbook=14_06.xlsx&amp;sheet=U0&amp;row=2052&amp;col=7&amp;number=0.00237&amp;sourceID=14","0.00237")</f>
        <v>0.00237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HYPERLINK("http://141.218.60.56/~jnz1568/getInfo.php?workbook=14_06.xlsx&amp;sheet=U0&amp;row=2053&amp;col=6&amp;number=3.9&amp;sourceID=14","3.9")</f>
        <v>3.9</v>
      </c>
      <c r="G2053" s="4" t="str">
        <f>HYPERLINK("http://141.218.60.56/~jnz1568/getInfo.php?workbook=14_06.xlsx&amp;sheet=U0&amp;row=2053&amp;col=7&amp;number=0.00237&amp;sourceID=14","0.00237")</f>
        <v>0.00237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HYPERLINK("http://141.218.60.56/~jnz1568/getInfo.php?workbook=14_06.xlsx&amp;sheet=U0&amp;row=2054&amp;col=6&amp;number=4&amp;sourceID=14","4")</f>
        <v>4</v>
      </c>
      <c r="G2054" s="4" t="str">
        <f>HYPERLINK("http://141.218.60.56/~jnz1568/getInfo.php?workbook=14_06.xlsx&amp;sheet=U0&amp;row=2054&amp;col=7&amp;number=0.00237&amp;sourceID=14","0.00237")</f>
        <v>0.00237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HYPERLINK("http://141.218.60.56/~jnz1568/getInfo.php?workbook=14_06.xlsx&amp;sheet=U0&amp;row=2055&amp;col=6&amp;number=4.1&amp;sourceID=14","4.1")</f>
        <v>4.1</v>
      </c>
      <c r="G2055" s="4" t="str">
        <f>HYPERLINK("http://141.218.60.56/~jnz1568/getInfo.php?workbook=14_06.xlsx&amp;sheet=U0&amp;row=2055&amp;col=7&amp;number=0.00238&amp;sourceID=14","0.00238")</f>
        <v>0.00238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HYPERLINK("http://141.218.60.56/~jnz1568/getInfo.php?workbook=14_06.xlsx&amp;sheet=U0&amp;row=2056&amp;col=6&amp;number=4.2&amp;sourceID=14","4.2")</f>
        <v>4.2</v>
      </c>
      <c r="G2056" s="4" t="str">
        <f>HYPERLINK("http://141.218.60.56/~jnz1568/getInfo.php?workbook=14_06.xlsx&amp;sheet=U0&amp;row=2056&amp;col=7&amp;number=0.00238&amp;sourceID=14","0.00238")</f>
        <v>0.00238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HYPERLINK("http://141.218.60.56/~jnz1568/getInfo.php?workbook=14_06.xlsx&amp;sheet=U0&amp;row=2057&amp;col=6&amp;number=4.3&amp;sourceID=14","4.3")</f>
        <v>4.3</v>
      </c>
      <c r="G2057" s="4" t="str">
        <f>HYPERLINK("http://141.218.60.56/~jnz1568/getInfo.php?workbook=14_06.xlsx&amp;sheet=U0&amp;row=2057&amp;col=7&amp;number=0.00238&amp;sourceID=14","0.00238")</f>
        <v>0.00238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HYPERLINK("http://141.218.60.56/~jnz1568/getInfo.php?workbook=14_06.xlsx&amp;sheet=U0&amp;row=2058&amp;col=6&amp;number=4.4&amp;sourceID=14","4.4")</f>
        <v>4.4</v>
      </c>
      <c r="G2058" s="4" t="str">
        <f>HYPERLINK("http://141.218.60.56/~jnz1568/getInfo.php?workbook=14_06.xlsx&amp;sheet=U0&amp;row=2058&amp;col=7&amp;number=0.00238&amp;sourceID=14","0.00238")</f>
        <v>0.00238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HYPERLINK("http://141.218.60.56/~jnz1568/getInfo.php?workbook=14_06.xlsx&amp;sheet=U0&amp;row=2059&amp;col=6&amp;number=4.5&amp;sourceID=14","4.5")</f>
        <v>4.5</v>
      </c>
      <c r="G2059" s="4" t="str">
        <f>HYPERLINK("http://141.218.60.56/~jnz1568/getInfo.php?workbook=14_06.xlsx&amp;sheet=U0&amp;row=2059&amp;col=7&amp;number=0.00238&amp;sourceID=14","0.00238")</f>
        <v>0.00238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HYPERLINK("http://141.218.60.56/~jnz1568/getInfo.php?workbook=14_06.xlsx&amp;sheet=U0&amp;row=2060&amp;col=6&amp;number=4.6&amp;sourceID=14","4.6")</f>
        <v>4.6</v>
      </c>
      <c r="G2060" s="4" t="str">
        <f>HYPERLINK("http://141.218.60.56/~jnz1568/getInfo.php?workbook=14_06.xlsx&amp;sheet=U0&amp;row=2060&amp;col=7&amp;number=0.00238&amp;sourceID=14","0.00238")</f>
        <v>0.00238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HYPERLINK("http://141.218.60.56/~jnz1568/getInfo.php?workbook=14_06.xlsx&amp;sheet=U0&amp;row=2061&amp;col=6&amp;number=4.7&amp;sourceID=14","4.7")</f>
        <v>4.7</v>
      </c>
      <c r="G2061" s="4" t="str">
        <f>HYPERLINK("http://141.218.60.56/~jnz1568/getInfo.php?workbook=14_06.xlsx&amp;sheet=U0&amp;row=2061&amp;col=7&amp;number=0.00239&amp;sourceID=14","0.00239")</f>
        <v>0.00239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HYPERLINK("http://141.218.60.56/~jnz1568/getInfo.php?workbook=14_06.xlsx&amp;sheet=U0&amp;row=2062&amp;col=6&amp;number=4.8&amp;sourceID=14","4.8")</f>
        <v>4.8</v>
      </c>
      <c r="G2062" s="4" t="str">
        <f>HYPERLINK("http://141.218.60.56/~jnz1568/getInfo.php?workbook=14_06.xlsx&amp;sheet=U0&amp;row=2062&amp;col=7&amp;number=0.00239&amp;sourceID=14","0.00239")</f>
        <v>0.00239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HYPERLINK("http://141.218.60.56/~jnz1568/getInfo.php?workbook=14_06.xlsx&amp;sheet=U0&amp;row=2063&amp;col=6&amp;number=4.9&amp;sourceID=14","4.9")</f>
        <v>4.9</v>
      </c>
      <c r="G2063" s="4" t="str">
        <f>HYPERLINK("http://141.218.60.56/~jnz1568/getInfo.php?workbook=14_06.xlsx&amp;sheet=U0&amp;row=2063&amp;col=7&amp;number=0.0024&amp;sourceID=14","0.0024")</f>
        <v>0.0024</v>
      </c>
    </row>
    <row r="2064" spans="1:7">
      <c r="A2064" s="3">
        <v>14</v>
      </c>
      <c r="B2064" s="3">
        <v>6</v>
      </c>
      <c r="C2064" s="3">
        <v>3</v>
      </c>
      <c r="D2064" s="3">
        <v>18</v>
      </c>
      <c r="E2064" s="3">
        <v>1</v>
      </c>
      <c r="F2064" s="4" t="str">
        <f>HYPERLINK("http://141.218.60.56/~jnz1568/getInfo.php?workbook=14_06.xlsx&amp;sheet=U0&amp;row=2064&amp;col=6&amp;number=3&amp;sourceID=14","3")</f>
        <v>3</v>
      </c>
      <c r="G2064" s="4" t="str">
        <f>HYPERLINK("http://141.218.60.56/~jnz1568/getInfo.php?workbook=14_06.xlsx&amp;sheet=U0&amp;row=2064&amp;col=7&amp;number=0.000971&amp;sourceID=14","0.000971")</f>
        <v>0.000971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HYPERLINK("http://141.218.60.56/~jnz1568/getInfo.php?workbook=14_06.xlsx&amp;sheet=U0&amp;row=2065&amp;col=6&amp;number=3.1&amp;sourceID=14","3.1")</f>
        <v>3.1</v>
      </c>
      <c r="G2065" s="4" t="str">
        <f>HYPERLINK("http://141.218.60.56/~jnz1568/getInfo.php?workbook=14_06.xlsx&amp;sheet=U0&amp;row=2065&amp;col=7&amp;number=0.000971&amp;sourceID=14","0.000971")</f>
        <v>0.000971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HYPERLINK("http://141.218.60.56/~jnz1568/getInfo.php?workbook=14_06.xlsx&amp;sheet=U0&amp;row=2066&amp;col=6&amp;number=3.2&amp;sourceID=14","3.2")</f>
        <v>3.2</v>
      </c>
      <c r="G2066" s="4" t="str">
        <f>HYPERLINK("http://141.218.60.56/~jnz1568/getInfo.php?workbook=14_06.xlsx&amp;sheet=U0&amp;row=2066&amp;col=7&amp;number=0.000971&amp;sourceID=14","0.000971")</f>
        <v>0.000971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HYPERLINK("http://141.218.60.56/~jnz1568/getInfo.php?workbook=14_06.xlsx&amp;sheet=U0&amp;row=2067&amp;col=6&amp;number=3.3&amp;sourceID=14","3.3")</f>
        <v>3.3</v>
      </c>
      <c r="G2067" s="4" t="str">
        <f>HYPERLINK("http://141.218.60.56/~jnz1568/getInfo.php?workbook=14_06.xlsx&amp;sheet=U0&amp;row=2067&amp;col=7&amp;number=0.000972&amp;sourceID=14","0.000972")</f>
        <v>0.000972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HYPERLINK("http://141.218.60.56/~jnz1568/getInfo.php?workbook=14_06.xlsx&amp;sheet=U0&amp;row=2068&amp;col=6&amp;number=3.4&amp;sourceID=14","3.4")</f>
        <v>3.4</v>
      </c>
      <c r="G2068" s="4" t="str">
        <f>HYPERLINK("http://141.218.60.56/~jnz1568/getInfo.php?workbook=14_06.xlsx&amp;sheet=U0&amp;row=2068&amp;col=7&amp;number=0.000972&amp;sourceID=14","0.000972")</f>
        <v>0.000972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HYPERLINK("http://141.218.60.56/~jnz1568/getInfo.php?workbook=14_06.xlsx&amp;sheet=U0&amp;row=2069&amp;col=6&amp;number=3.5&amp;sourceID=14","3.5")</f>
        <v>3.5</v>
      </c>
      <c r="G2069" s="4" t="str">
        <f>HYPERLINK("http://141.218.60.56/~jnz1568/getInfo.php?workbook=14_06.xlsx&amp;sheet=U0&amp;row=2069&amp;col=7&amp;number=0.000972&amp;sourceID=14","0.000972")</f>
        <v>0.000972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HYPERLINK("http://141.218.60.56/~jnz1568/getInfo.php?workbook=14_06.xlsx&amp;sheet=U0&amp;row=2070&amp;col=6&amp;number=3.6&amp;sourceID=14","3.6")</f>
        <v>3.6</v>
      </c>
      <c r="G2070" s="4" t="str">
        <f>HYPERLINK("http://141.218.60.56/~jnz1568/getInfo.php?workbook=14_06.xlsx&amp;sheet=U0&amp;row=2070&amp;col=7&amp;number=0.000972&amp;sourceID=14","0.000972")</f>
        <v>0.000972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HYPERLINK("http://141.218.60.56/~jnz1568/getInfo.php?workbook=14_06.xlsx&amp;sheet=U0&amp;row=2071&amp;col=6&amp;number=3.7&amp;sourceID=14","3.7")</f>
        <v>3.7</v>
      </c>
      <c r="G2071" s="4" t="str">
        <f>HYPERLINK("http://141.218.60.56/~jnz1568/getInfo.php?workbook=14_06.xlsx&amp;sheet=U0&amp;row=2071&amp;col=7&amp;number=0.000972&amp;sourceID=14","0.000972")</f>
        <v>0.000972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HYPERLINK("http://141.218.60.56/~jnz1568/getInfo.php?workbook=14_06.xlsx&amp;sheet=U0&amp;row=2072&amp;col=6&amp;number=3.8&amp;sourceID=14","3.8")</f>
        <v>3.8</v>
      </c>
      <c r="G2072" s="4" t="str">
        <f>HYPERLINK("http://141.218.60.56/~jnz1568/getInfo.php?workbook=14_06.xlsx&amp;sheet=U0&amp;row=2072&amp;col=7&amp;number=0.000972&amp;sourceID=14","0.000972")</f>
        <v>0.000972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HYPERLINK("http://141.218.60.56/~jnz1568/getInfo.php?workbook=14_06.xlsx&amp;sheet=U0&amp;row=2073&amp;col=6&amp;number=3.9&amp;sourceID=14","3.9")</f>
        <v>3.9</v>
      </c>
      <c r="G2073" s="4" t="str">
        <f>HYPERLINK("http://141.218.60.56/~jnz1568/getInfo.php?workbook=14_06.xlsx&amp;sheet=U0&amp;row=2073&amp;col=7&amp;number=0.000973&amp;sourceID=14","0.000973")</f>
        <v>0.000973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HYPERLINK("http://141.218.60.56/~jnz1568/getInfo.php?workbook=14_06.xlsx&amp;sheet=U0&amp;row=2074&amp;col=6&amp;number=4&amp;sourceID=14","4")</f>
        <v>4</v>
      </c>
      <c r="G2074" s="4" t="str">
        <f>HYPERLINK("http://141.218.60.56/~jnz1568/getInfo.php?workbook=14_06.xlsx&amp;sheet=U0&amp;row=2074&amp;col=7&amp;number=0.000973&amp;sourceID=14","0.000973")</f>
        <v>0.000973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HYPERLINK("http://141.218.60.56/~jnz1568/getInfo.php?workbook=14_06.xlsx&amp;sheet=U0&amp;row=2075&amp;col=6&amp;number=4.1&amp;sourceID=14","4.1")</f>
        <v>4.1</v>
      </c>
      <c r="G2075" s="4" t="str">
        <f>HYPERLINK("http://141.218.60.56/~jnz1568/getInfo.php?workbook=14_06.xlsx&amp;sheet=U0&amp;row=2075&amp;col=7&amp;number=0.000973&amp;sourceID=14","0.000973")</f>
        <v>0.000973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HYPERLINK("http://141.218.60.56/~jnz1568/getInfo.php?workbook=14_06.xlsx&amp;sheet=U0&amp;row=2076&amp;col=6&amp;number=4.2&amp;sourceID=14","4.2")</f>
        <v>4.2</v>
      </c>
      <c r="G2076" s="4" t="str">
        <f>HYPERLINK("http://141.218.60.56/~jnz1568/getInfo.php?workbook=14_06.xlsx&amp;sheet=U0&amp;row=2076&amp;col=7&amp;number=0.000974&amp;sourceID=14","0.000974")</f>
        <v>0.000974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HYPERLINK("http://141.218.60.56/~jnz1568/getInfo.php?workbook=14_06.xlsx&amp;sheet=U0&amp;row=2077&amp;col=6&amp;number=4.3&amp;sourceID=14","4.3")</f>
        <v>4.3</v>
      </c>
      <c r="G2077" s="4" t="str">
        <f>HYPERLINK("http://141.218.60.56/~jnz1568/getInfo.php?workbook=14_06.xlsx&amp;sheet=U0&amp;row=2077&amp;col=7&amp;number=0.000975&amp;sourceID=14","0.000975")</f>
        <v>0.000975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HYPERLINK("http://141.218.60.56/~jnz1568/getInfo.php?workbook=14_06.xlsx&amp;sheet=U0&amp;row=2078&amp;col=6&amp;number=4.4&amp;sourceID=14","4.4")</f>
        <v>4.4</v>
      </c>
      <c r="G2078" s="4" t="str">
        <f>HYPERLINK("http://141.218.60.56/~jnz1568/getInfo.php?workbook=14_06.xlsx&amp;sheet=U0&amp;row=2078&amp;col=7&amp;number=0.000975&amp;sourceID=14","0.000975")</f>
        <v>0.000975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HYPERLINK("http://141.218.60.56/~jnz1568/getInfo.php?workbook=14_06.xlsx&amp;sheet=U0&amp;row=2079&amp;col=6&amp;number=4.5&amp;sourceID=14","4.5")</f>
        <v>4.5</v>
      </c>
      <c r="G2079" s="4" t="str">
        <f>HYPERLINK("http://141.218.60.56/~jnz1568/getInfo.php?workbook=14_06.xlsx&amp;sheet=U0&amp;row=2079&amp;col=7&amp;number=0.000976&amp;sourceID=14","0.000976")</f>
        <v>0.000976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HYPERLINK("http://141.218.60.56/~jnz1568/getInfo.php?workbook=14_06.xlsx&amp;sheet=U0&amp;row=2080&amp;col=6&amp;number=4.6&amp;sourceID=14","4.6")</f>
        <v>4.6</v>
      </c>
      <c r="G2080" s="4" t="str">
        <f>HYPERLINK("http://141.218.60.56/~jnz1568/getInfo.php?workbook=14_06.xlsx&amp;sheet=U0&amp;row=2080&amp;col=7&amp;number=0.000978&amp;sourceID=14","0.000978")</f>
        <v>0.000978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HYPERLINK("http://141.218.60.56/~jnz1568/getInfo.php?workbook=14_06.xlsx&amp;sheet=U0&amp;row=2081&amp;col=6&amp;number=4.7&amp;sourceID=14","4.7")</f>
        <v>4.7</v>
      </c>
      <c r="G2081" s="4" t="str">
        <f>HYPERLINK("http://141.218.60.56/~jnz1568/getInfo.php?workbook=14_06.xlsx&amp;sheet=U0&amp;row=2081&amp;col=7&amp;number=0.000979&amp;sourceID=14","0.000979")</f>
        <v>0.000979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HYPERLINK("http://141.218.60.56/~jnz1568/getInfo.php?workbook=14_06.xlsx&amp;sheet=U0&amp;row=2082&amp;col=6&amp;number=4.8&amp;sourceID=14","4.8")</f>
        <v>4.8</v>
      </c>
      <c r="G2082" s="4" t="str">
        <f>HYPERLINK("http://141.218.60.56/~jnz1568/getInfo.php?workbook=14_06.xlsx&amp;sheet=U0&amp;row=2082&amp;col=7&amp;number=0.000982&amp;sourceID=14","0.000982")</f>
        <v>0.000982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HYPERLINK("http://141.218.60.56/~jnz1568/getInfo.php?workbook=14_06.xlsx&amp;sheet=U0&amp;row=2083&amp;col=6&amp;number=4.9&amp;sourceID=14","4.9")</f>
        <v>4.9</v>
      </c>
      <c r="G2083" s="4" t="str">
        <f>HYPERLINK("http://141.218.60.56/~jnz1568/getInfo.php?workbook=14_06.xlsx&amp;sheet=U0&amp;row=2083&amp;col=7&amp;number=0.000984&amp;sourceID=14","0.000984")</f>
        <v>0.000984</v>
      </c>
    </row>
    <row r="2084" spans="1:7">
      <c r="A2084" s="3">
        <v>14</v>
      </c>
      <c r="B2084" s="3">
        <v>6</v>
      </c>
      <c r="C2084" s="3">
        <v>3</v>
      </c>
      <c r="D2084" s="3">
        <v>19</v>
      </c>
      <c r="E2084" s="3">
        <v>1</v>
      </c>
      <c r="F2084" s="4" t="str">
        <f>HYPERLINK("http://141.218.60.56/~jnz1568/getInfo.php?workbook=14_06.xlsx&amp;sheet=U0&amp;row=2084&amp;col=6&amp;number=3&amp;sourceID=14","3")</f>
        <v>3</v>
      </c>
      <c r="G2084" s="4" t="str">
        <f>HYPERLINK("http://141.218.60.56/~jnz1568/getInfo.php?workbook=14_06.xlsx&amp;sheet=U0&amp;row=2084&amp;col=7&amp;number=0.00216&amp;sourceID=14","0.00216")</f>
        <v>0.00216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HYPERLINK("http://141.218.60.56/~jnz1568/getInfo.php?workbook=14_06.xlsx&amp;sheet=U0&amp;row=2085&amp;col=6&amp;number=3.1&amp;sourceID=14","3.1")</f>
        <v>3.1</v>
      </c>
      <c r="G2085" s="4" t="str">
        <f>HYPERLINK("http://141.218.60.56/~jnz1568/getInfo.php?workbook=14_06.xlsx&amp;sheet=U0&amp;row=2085&amp;col=7&amp;number=0.00216&amp;sourceID=14","0.00216")</f>
        <v>0.00216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HYPERLINK("http://141.218.60.56/~jnz1568/getInfo.php?workbook=14_06.xlsx&amp;sheet=U0&amp;row=2086&amp;col=6&amp;number=3.2&amp;sourceID=14","3.2")</f>
        <v>3.2</v>
      </c>
      <c r="G2086" s="4" t="str">
        <f>HYPERLINK("http://141.218.60.56/~jnz1568/getInfo.php?workbook=14_06.xlsx&amp;sheet=U0&amp;row=2086&amp;col=7&amp;number=0.00216&amp;sourceID=14","0.00216")</f>
        <v>0.00216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HYPERLINK("http://141.218.60.56/~jnz1568/getInfo.php?workbook=14_06.xlsx&amp;sheet=U0&amp;row=2087&amp;col=6&amp;number=3.3&amp;sourceID=14","3.3")</f>
        <v>3.3</v>
      </c>
      <c r="G2087" s="4" t="str">
        <f>HYPERLINK("http://141.218.60.56/~jnz1568/getInfo.php?workbook=14_06.xlsx&amp;sheet=U0&amp;row=2087&amp;col=7&amp;number=0.00216&amp;sourceID=14","0.00216")</f>
        <v>0.00216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HYPERLINK("http://141.218.60.56/~jnz1568/getInfo.php?workbook=14_06.xlsx&amp;sheet=U0&amp;row=2088&amp;col=6&amp;number=3.4&amp;sourceID=14","3.4")</f>
        <v>3.4</v>
      </c>
      <c r="G2088" s="4" t="str">
        <f>HYPERLINK("http://141.218.60.56/~jnz1568/getInfo.php?workbook=14_06.xlsx&amp;sheet=U0&amp;row=2088&amp;col=7&amp;number=0.00216&amp;sourceID=14","0.00216")</f>
        <v>0.00216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HYPERLINK("http://141.218.60.56/~jnz1568/getInfo.php?workbook=14_06.xlsx&amp;sheet=U0&amp;row=2089&amp;col=6&amp;number=3.5&amp;sourceID=14","3.5")</f>
        <v>3.5</v>
      </c>
      <c r="G2089" s="4" t="str">
        <f>HYPERLINK("http://141.218.60.56/~jnz1568/getInfo.php?workbook=14_06.xlsx&amp;sheet=U0&amp;row=2089&amp;col=7&amp;number=0.00216&amp;sourceID=14","0.00216")</f>
        <v>0.00216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HYPERLINK("http://141.218.60.56/~jnz1568/getInfo.php?workbook=14_06.xlsx&amp;sheet=U0&amp;row=2090&amp;col=6&amp;number=3.6&amp;sourceID=14","3.6")</f>
        <v>3.6</v>
      </c>
      <c r="G2090" s="4" t="str">
        <f>HYPERLINK("http://141.218.60.56/~jnz1568/getInfo.php?workbook=14_06.xlsx&amp;sheet=U0&amp;row=2090&amp;col=7&amp;number=0.00216&amp;sourceID=14","0.00216")</f>
        <v>0.00216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HYPERLINK("http://141.218.60.56/~jnz1568/getInfo.php?workbook=14_06.xlsx&amp;sheet=U0&amp;row=2091&amp;col=6&amp;number=3.7&amp;sourceID=14","3.7")</f>
        <v>3.7</v>
      </c>
      <c r="G2091" s="4" t="str">
        <f>HYPERLINK("http://141.218.60.56/~jnz1568/getInfo.php?workbook=14_06.xlsx&amp;sheet=U0&amp;row=2091&amp;col=7&amp;number=0.00216&amp;sourceID=14","0.00216")</f>
        <v>0.00216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HYPERLINK("http://141.218.60.56/~jnz1568/getInfo.php?workbook=14_06.xlsx&amp;sheet=U0&amp;row=2092&amp;col=6&amp;number=3.8&amp;sourceID=14","3.8")</f>
        <v>3.8</v>
      </c>
      <c r="G2092" s="4" t="str">
        <f>HYPERLINK("http://141.218.60.56/~jnz1568/getInfo.php?workbook=14_06.xlsx&amp;sheet=U0&amp;row=2092&amp;col=7&amp;number=0.00216&amp;sourceID=14","0.00216")</f>
        <v>0.00216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HYPERLINK("http://141.218.60.56/~jnz1568/getInfo.php?workbook=14_06.xlsx&amp;sheet=U0&amp;row=2093&amp;col=6&amp;number=3.9&amp;sourceID=14","3.9")</f>
        <v>3.9</v>
      </c>
      <c r="G2093" s="4" t="str">
        <f>HYPERLINK("http://141.218.60.56/~jnz1568/getInfo.php?workbook=14_06.xlsx&amp;sheet=U0&amp;row=2093&amp;col=7&amp;number=0.00216&amp;sourceID=14","0.00216")</f>
        <v>0.00216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HYPERLINK("http://141.218.60.56/~jnz1568/getInfo.php?workbook=14_06.xlsx&amp;sheet=U0&amp;row=2094&amp;col=6&amp;number=4&amp;sourceID=14","4")</f>
        <v>4</v>
      </c>
      <c r="G2094" s="4" t="str">
        <f>HYPERLINK("http://141.218.60.56/~jnz1568/getInfo.php?workbook=14_06.xlsx&amp;sheet=U0&amp;row=2094&amp;col=7&amp;number=0.00216&amp;sourceID=14","0.00216")</f>
        <v>0.00216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HYPERLINK("http://141.218.60.56/~jnz1568/getInfo.php?workbook=14_06.xlsx&amp;sheet=U0&amp;row=2095&amp;col=6&amp;number=4.1&amp;sourceID=14","4.1")</f>
        <v>4.1</v>
      </c>
      <c r="G2095" s="4" t="str">
        <f>HYPERLINK("http://141.218.60.56/~jnz1568/getInfo.php?workbook=14_06.xlsx&amp;sheet=U0&amp;row=2095&amp;col=7&amp;number=0.00216&amp;sourceID=14","0.00216")</f>
        <v>0.00216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HYPERLINK("http://141.218.60.56/~jnz1568/getInfo.php?workbook=14_06.xlsx&amp;sheet=U0&amp;row=2096&amp;col=6&amp;number=4.2&amp;sourceID=14","4.2")</f>
        <v>4.2</v>
      </c>
      <c r="G2096" s="4" t="str">
        <f>HYPERLINK("http://141.218.60.56/~jnz1568/getInfo.php?workbook=14_06.xlsx&amp;sheet=U0&amp;row=2096&amp;col=7&amp;number=0.00215&amp;sourceID=14","0.00215")</f>
        <v>0.00215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HYPERLINK("http://141.218.60.56/~jnz1568/getInfo.php?workbook=14_06.xlsx&amp;sheet=U0&amp;row=2097&amp;col=6&amp;number=4.3&amp;sourceID=14","4.3")</f>
        <v>4.3</v>
      </c>
      <c r="G2097" s="4" t="str">
        <f>HYPERLINK("http://141.218.60.56/~jnz1568/getInfo.php?workbook=14_06.xlsx&amp;sheet=U0&amp;row=2097&amp;col=7&amp;number=0.00215&amp;sourceID=14","0.00215")</f>
        <v>0.00215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HYPERLINK("http://141.218.60.56/~jnz1568/getInfo.php?workbook=14_06.xlsx&amp;sheet=U0&amp;row=2098&amp;col=6&amp;number=4.4&amp;sourceID=14","4.4")</f>
        <v>4.4</v>
      </c>
      <c r="G2098" s="4" t="str">
        <f>HYPERLINK("http://141.218.60.56/~jnz1568/getInfo.php?workbook=14_06.xlsx&amp;sheet=U0&amp;row=2098&amp;col=7&amp;number=0.00215&amp;sourceID=14","0.00215")</f>
        <v>0.00215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HYPERLINK("http://141.218.60.56/~jnz1568/getInfo.php?workbook=14_06.xlsx&amp;sheet=U0&amp;row=2099&amp;col=6&amp;number=4.5&amp;sourceID=14","4.5")</f>
        <v>4.5</v>
      </c>
      <c r="G2099" s="4" t="str">
        <f>HYPERLINK("http://141.218.60.56/~jnz1568/getInfo.php?workbook=14_06.xlsx&amp;sheet=U0&amp;row=2099&amp;col=7&amp;number=0.00214&amp;sourceID=14","0.00214")</f>
        <v>0.00214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HYPERLINK("http://141.218.60.56/~jnz1568/getInfo.php?workbook=14_06.xlsx&amp;sheet=U0&amp;row=2100&amp;col=6&amp;number=4.6&amp;sourceID=14","4.6")</f>
        <v>4.6</v>
      </c>
      <c r="G2100" s="4" t="str">
        <f>HYPERLINK("http://141.218.60.56/~jnz1568/getInfo.php?workbook=14_06.xlsx&amp;sheet=U0&amp;row=2100&amp;col=7&amp;number=0.00214&amp;sourceID=14","0.00214")</f>
        <v>0.00214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HYPERLINK("http://141.218.60.56/~jnz1568/getInfo.php?workbook=14_06.xlsx&amp;sheet=U0&amp;row=2101&amp;col=6&amp;number=4.7&amp;sourceID=14","4.7")</f>
        <v>4.7</v>
      </c>
      <c r="G2101" s="4" t="str">
        <f>HYPERLINK("http://141.218.60.56/~jnz1568/getInfo.php?workbook=14_06.xlsx&amp;sheet=U0&amp;row=2101&amp;col=7&amp;number=0.00213&amp;sourceID=14","0.00213")</f>
        <v>0.00213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HYPERLINK("http://141.218.60.56/~jnz1568/getInfo.php?workbook=14_06.xlsx&amp;sheet=U0&amp;row=2102&amp;col=6&amp;number=4.8&amp;sourceID=14","4.8")</f>
        <v>4.8</v>
      </c>
      <c r="G2102" s="4" t="str">
        <f>HYPERLINK("http://141.218.60.56/~jnz1568/getInfo.php?workbook=14_06.xlsx&amp;sheet=U0&amp;row=2102&amp;col=7&amp;number=0.00213&amp;sourceID=14","0.00213")</f>
        <v>0.00213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HYPERLINK("http://141.218.60.56/~jnz1568/getInfo.php?workbook=14_06.xlsx&amp;sheet=U0&amp;row=2103&amp;col=6&amp;number=4.9&amp;sourceID=14","4.9")</f>
        <v>4.9</v>
      </c>
      <c r="G2103" s="4" t="str">
        <f>HYPERLINK("http://141.218.60.56/~jnz1568/getInfo.php?workbook=14_06.xlsx&amp;sheet=U0&amp;row=2103&amp;col=7&amp;number=0.00212&amp;sourceID=14","0.00212")</f>
        <v>0.00212</v>
      </c>
    </row>
    <row r="2104" spans="1:7">
      <c r="A2104" s="3">
        <v>14</v>
      </c>
      <c r="B2104" s="3">
        <v>6</v>
      </c>
      <c r="C2104" s="3">
        <v>3</v>
      </c>
      <c r="D2104" s="3">
        <v>20</v>
      </c>
      <c r="E2104" s="3">
        <v>1</v>
      </c>
      <c r="F2104" s="4" t="str">
        <f>HYPERLINK("http://141.218.60.56/~jnz1568/getInfo.php?workbook=14_06.xlsx&amp;sheet=U0&amp;row=2104&amp;col=6&amp;number=3&amp;sourceID=14","3")</f>
        <v>3</v>
      </c>
      <c r="G2104" s="4" t="str">
        <f>HYPERLINK("http://141.218.60.56/~jnz1568/getInfo.php?workbook=14_06.xlsx&amp;sheet=U0&amp;row=2104&amp;col=7&amp;number=0.000358&amp;sourceID=14","0.000358")</f>
        <v>0.000358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HYPERLINK("http://141.218.60.56/~jnz1568/getInfo.php?workbook=14_06.xlsx&amp;sheet=U0&amp;row=2105&amp;col=6&amp;number=3.1&amp;sourceID=14","3.1")</f>
        <v>3.1</v>
      </c>
      <c r="G2105" s="4" t="str">
        <f>HYPERLINK("http://141.218.60.56/~jnz1568/getInfo.php?workbook=14_06.xlsx&amp;sheet=U0&amp;row=2105&amp;col=7&amp;number=0.000358&amp;sourceID=14","0.000358")</f>
        <v>0.000358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HYPERLINK("http://141.218.60.56/~jnz1568/getInfo.php?workbook=14_06.xlsx&amp;sheet=U0&amp;row=2106&amp;col=6&amp;number=3.2&amp;sourceID=14","3.2")</f>
        <v>3.2</v>
      </c>
      <c r="G2106" s="4" t="str">
        <f>HYPERLINK("http://141.218.60.56/~jnz1568/getInfo.php?workbook=14_06.xlsx&amp;sheet=U0&amp;row=2106&amp;col=7&amp;number=0.000358&amp;sourceID=14","0.000358")</f>
        <v>0.000358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HYPERLINK("http://141.218.60.56/~jnz1568/getInfo.php?workbook=14_06.xlsx&amp;sheet=U0&amp;row=2107&amp;col=6&amp;number=3.3&amp;sourceID=14","3.3")</f>
        <v>3.3</v>
      </c>
      <c r="G2107" s="4" t="str">
        <f>HYPERLINK("http://141.218.60.56/~jnz1568/getInfo.php?workbook=14_06.xlsx&amp;sheet=U0&amp;row=2107&amp;col=7&amp;number=0.000358&amp;sourceID=14","0.000358")</f>
        <v>0.000358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HYPERLINK("http://141.218.60.56/~jnz1568/getInfo.php?workbook=14_06.xlsx&amp;sheet=U0&amp;row=2108&amp;col=6&amp;number=3.4&amp;sourceID=14","3.4")</f>
        <v>3.4</v>
      </c>
      <c r="G2108" s="4" t="str">
        <f>HYPERLINK("http://141.218.60.56/~jnz1568/getInfo.php?workbook=14_06.xlsx&amp;sheet=U0&amp;row=2108&amp;col=7&amp;number=0.000358&amp;sourceID=14","0.000358")</f>
        <v>0.000358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HYPERLINK("http://141.218.60.56/~jnz1568/getInfo.php?workbook=14_06.xlsx&amp;sheet=U0&amp;row=2109&amp;col=6&amp;number=3.5&amp;sourceID=14","3.5")</f>
        <v>3.5</v>
      </c>
      <c r="G2109" s="4" t="str">
        <f>HYPERLINK("http://141.218.60.56/~jnz1568/getInfo.php?workbook=14_06.xlsx&amp;sheet=U0&amp;row=2109&amp;col=7&amp;number=0.000357&amp;sourceID=14","0.000357")</f>
        <v>0.000357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HYPERLINK("http://141.218.60.56/~jnz1568/getInfo.php?workbook=14_06.xlsx&amp;sheet=U0&amp;row=2110&amp;col=6&amp;number=3.6&amp;sourceID=14","3.6")</f>
        <v>3.6</v>
      </c>
      <c r="G2110" s="4" t="str">
        <f>HYPERLINK("http://141.218.60.56/~jnz1568/getInfo.php?workbook=14_06.xlsx&amp;sheet=U0&amp;row=2110&amp;col=7&amp;number=0.000357&amp;sourceID=14","0.000357")</f>
        <v>0.000357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HYPERLINK("http://141.218.60.56/~jnz1568/getInfo.php?workbook=14_06.xlsx&amp;sheet=U0&amp;row=2111&amp;col=6&amp;number=3.7&amp;sourceID=14","3.7")</f>
        <v>3.7</v>
      </c>
      <c r="G2111" s="4" t="str">
        <f>HYPERLINK("http://141.218.60.56/~jnz1568/getInfo.php?workbook=14_06.xlsx&amp;sheet=U0&amp;row=2111&amp;col=7&amp;number=0.000357&amp;sourceID=14","0.000357")</f>
        <v>0.000357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HYPERLINK("http://141.218.60.56/~jnz1568/getInfo.php?workbook=14_06.xlsx&amp;sheet=U0&amp;row=2112&amp;col=6&amp;number=3.8&amp;sourceID=14","3.8")</f>
        <v>3.8</v>
      </c>
      <c r="G2112" s="4" t="str">
        <f>HYPERLINK("http://141.218.60.56/~jnz1568/getInfo.php?workbook=14_06.xlsx&amp;sheet=U0&amp;row=2112&amp;col=7&amp;number=0.000357&amp;sourceID=14","0.000357")</f>
        <v>0.000357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HYPERLINK("http://141.218.60.56/~jnz1568/getInfo.php?workbook=14_06.xlsx&amp;sheet=U0&amp;row=2113&amp;col=6&amp;number=3.9&amp;sourceID=14","3.9")</f>
        <v>3.9</v>
      </c>
      <c r="G2113" s="4" t="str">
        <f>HYPERLINK("http://141.218.60.56/~jnz1568/getInfo.php?workbook=14_06.xlsx&amp;sheet=U0&amp;row=2113&amp;col=7&amp;number=0.000357&amp;sourceID=14","0.000357")</f>
        <v>0.000357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HYPERLINK("http://141.218.60.56/~jnz1568/getInfo.php?workbook=14_06.xlsx&amp;sheet=U0&amp;row=2114&amp;col=6&amp;number=4&amp;sourceID=14","4")</f>
        <v>4</v>
      </c>
      <c r="G2114" s="4" t="str">
        <f>HYPERLINK("http://141.218.60.56/~jnz1568/getInfo.php?workbook=14_06.xlsx&amp;sheet=U0&amp;row=2114&amp;col=7&amp;number=0.000357&amp;sourceID=14","0.000357")</f>
        <v>0.000357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HYPERLINK("http://141.218.60.56/~jnz1568/getInfo.php?workbook=14_06.xlsx&amp;sheet=U0&amp;row=2115&amp;col=6&amp;number=4.1&amp;sourceID=14","4.1")</f>
        <v>4.1</v>
      </c>
      <c r="G2115" s="4" t="str">
        <f>HYPERLINK("http://141.218.60.56/~jnz1568/getInfo.php?workbook=14_06.xlsx&amp;sheet=U0&amp;row=2115&amp;col=7&amp;number=0.000357&amp;sourceID=14","0.000357")</f>
        <v>0.000357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HYPERLINK("http://141.218.60.56/~jnz1568/getInfo.php?workbook=14_06.xlsx&amp;sheet=U0&amp;row=2116&amp;col=6&amp;number=4.2&amp;sourceID=14","4.2")</f>
        <v>4.2</v>
      </c>
      <c r="G2116" s="4" t="str">
        <f>HYPERLINK("http://141.218.60.56/~jnz1568/getInfo.php?workbook=14_06.xlsx&amp;sheet=U0&amp;row=2116&amp;col=7&amp;number=0.000356&amp;sourceID=14","0.000356")</f>
        <v>0.000356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HYPERLINK("http://141.218.60.56/~jnz1568/getInfo.php?workbook=14_06.xlsx&amp;sheet=U0&amp;row=2117&amp;col=6&amp;number=4.3&amp;sourceID=14","4.3")</f>
        <v>4.3</v>
      </c>
      <c r="G2117" s="4" t="str">
        <f>HYPERLINK("http://141.218.60.56/~jnz1568/getInfo.php?workbook=14_06.xlsx&amp;sheet=U0&amp;row=2117&amp;col=7&amp;number=0.000356&amp;sourceID=14","0.000356")</f>
        <v>0.000356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HYPERLINK("http://141.218.60.56/~jnz1568/getInfo.php?workbook=14_06.xlsx&amp;sheet=U0&amp;row=2118&amp;col=6&amp;number=4.4&amp;sourceID=14","4.4")</f>
        <v>4.4</v>
      </c>
      <c r="G2118" s="4" t="str">
        <f>HYPERLINK("http://141.218.60.56/~jnz1568/getInfo.php?workbook=14_06.xlsx&amp;sheet=U0&amp;row=2118&amp;col=7&amp;number=0.000355&amp;sourceID=14","0.000355")</f>
        <v>0.000355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HYPERLINK("http://141.218.60.56/~jnz1568/getInfo.php?workbook=14_06.xlsx&amp;sheet=U0&amp;row=2119&amp;col=6&amp;number=4.5&amp;sourceID=14","4.5")</f>
        <v>4.5</v>
      </c>
      <c r="G2119" s="4" t="str">
        <f>HYPERLINK("http://141.218.60.56/~jnz1568/getInfo.php?workbook=14_06.xlsx&amp;sheet=U0&amp;row=2119&amp;col=7&amp;number=0.000355&amp;sourceID=14","0.000355")</f>
        <v>0.000355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HYPERLINK("http://141.218.60.56/~jnz1568/getInfo.php?workbook=14_06.xlsx&amp;sheet=U0&amp;row=2120&amp;col=6&amp;number=4.6&amp;sourceID=14","4.6")</f>
        <v>4.6</v>
      </c>
      <c r="G2120" s="4" t="str">
        <f>HYPERLINK("http://141.218.60.56/~jnz1568/getInfo.php?workbook=14_06.xlsx&amp;sheet=U0&amp;row=2120&amp;col=7&amp;number=0.000354&amp;sourceID=14","0.000354")</f>
        <v>0.000354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HYPERLINK("http://141.218.60.56/~jnz1568/getInfo.php?workbook=14_06.xlsx&amp;sheet=U0&amp;row=2121&amp;col=6&amp;number=4.7&amp;sourceID=14","4.7")</f>
        <v>4.7</v>
      </c>
      <c r="G2121" s="4" t="str">
        <f>HYPERLINK("http://141.218.60.56/~jnz1568/getInfo.php?workbook=14_06.xlsx&amp;sheet=U0&amp;row=2121&amp;col=7&amp;number=0.000353&amp;sourceID=14","0.000353")</f>
        <v>0.000353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HYPERLINK("http://141.218.60.56/~jnz1568/getInfo.php?workbook=14_06.xlsx&amp;sheet=U0&amp;row=2122&amp;col=6&amp;number=4.8&amp;sourceID=14","4.8")</f>
        <v>4.8</v>
      </c>
      <c r="G2122" s="4" t="str">
        <f>HYPERLINK("http://141.218.60.56/~jnz1568/getInfo.php?workbook=14_06.xlsx&amp;sheet=U0&amp;row=2122&amp;col=7&amp;number=0.000352&amp;sourceID=14","0.000352")</f>
        <v>0.000352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HYPERLINK("http://141.218.60.56/~jnz1568/getInfo.php?workbook=14_06.xlsx&amp;sheet=U0&amp;row=2123&amp;col=6&amp;number=4.9&amp;sourceID=14","4.9")</f>
        <v>4.9</v>
      </c>
      <c r="G2123" s="4" t="str">
        <f>HYPERLINK("http://141.218.60.56/~jnz1568/getInfo.php?workbook=14_06.xlsx&amp;sheet=U0&amp;row=2123&amp;col=7&amp;number=0.00035&amp;sourceID=14","0.00035")</f>
        <v>0.00035</v>
      </c>
    </row>
    <row r="2124" spans="1:7">
      <c r="A2124" s="3">
        <v>14</v>
      </c>
      <c r="B2124" s="3">
        <v>6</v>
      </c>
      <c r="C2124" s="3">
        <v>3</v>
      </c>
      <c r="D2124" s="3">
        <v>21</v>
      </c>
      <c r="E2124" s="3">
        <v>1</v>
      </c>
      <c r="F2124" s="4" t="str">
        <f>HYPERLINK("http://141.218.60.56/~jnz1568/getInfo.php?workbook=14_06.xlsx&amp;sheet=U0&amp;row=2124&amp;col=6&amp;number=3&amp;sourceID=14","3")</f>
        <v>3</v>
      </c>
      <c r="G2124" s="4" t="str">
        <f>HYPERLINK("http://141.218.60.56/~jnz1568/getInfo.php?workbook=14_06.xlsx&amp;sheet=U0&amp;row=2124&amp;col=7&amp;number=0.00138&amp;sourceID=14","0.00138")</f>
        <v>0.00138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HYPERLINK("http://141.218.60.56/~jnz1568/getInfo.php?workbook=14_06.xlsx&amp;sheet=U0&amp;row=2125&amp;col=6&amp;number=3.1&amp;sourceID=14","3.1")</f>
        <v>3.1</v>
      </c>
      <c r="G2125" s="4" t="str">
        <f>HYPERLINK("http://141.218.60.56/~jnz1568/getInfo.php?workbook=14_06.xlsx&amp;sheet=U0&amp;row=2125&amp;col=7&amp;number=0.00138&amp;sourceID=14","0.00138")</f>
        <v>0.00138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HYPERLINK("http://141.218.60.56/~jnz1568/getInfo.php?workbook=14_06.xlsx&amp;sheet=U0&amp;row=2126&amp;col=6&amp;number=3.2&amp;sourceID=14","3.2")</f>
        <v>3.2</v>
      </c>
      <c r="G2126" s="4" t="str">
        <f>HYPERLINK("http://141.218.60.56/~jnz1568/getInfo.php?workbook=14_06.xlsx&amp;sheet=U0&amp;row=2126&amp;col=7&amp;number=0.00138&amp;sourceID=14","0.00138")</f>
        <v>0.00138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HYPERLINK("http://141.218.60.56/~jnz1568/getInfo.php?workbook=14_06.xlsx&amp;sheet=U0&amp;row=2127&amp;col=6&amp;number=3.3&amp;sourceID=14","3.3")</f>
        <v>3.3</v>
      </c>
      <c r="G2127" s="4" t="str">
        <f>HYPERLINK("http://141.218.60.56/~jnz1568/getInfo.php?workbook=14_06.xlsx&amp;sheet=U0&amp;row=2127&amp;col=7&amp;number=0.00138&amp;sourceID=14","0.00138")</f>
        <v>0.00138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HYPERLINK("http://141.218.60.56/~jnz1568/getInfo.php?workbook=14_06.xlsx&amp;sheet=U0&amp;row=2128&amp;col=6&amp;number=3.4&amp;sourceID=14","3.4")</f>
        <v>3.4</v>
      </c>
      <c r="G2128" s="4" t="str">
        <f>HYPERLINK("http://141.218.60.56/~jnz1568/getInfo.php?workbook=14_06.xlsx&amp;sheet=U0&amp;row=2128&amp;col=7&amp;number=0.00138&amp;sourceID=14","0.00138")</f>
        <v>0.00138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HYPERLINK("http://141.218.60.56/~jnz1568/getInfo.php?workbook=14_06.xlsx&amp;sheet=U0&amp;row=2129&amp;col=6&amp;number=3.5&amp;sourceID=14","3.5")</f>
        <v>3.5</v>
      </c>
      <c r="G2129" s="4" t="str">
        <f>HYPERLINK("http://141.218.60.56/~jnz1568/getInfo.php?workbook=14_06.xlsx&amp;sheet=U0&amp;row=2129&amp;col=7&amp;number=0.00138&amp;sourceID=14","0.00138")</f>
        <v>0.00138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HYPERLINK("http://141.218.60.56/~jnz1568/getInfo.php?workbook=14_06.xlsx&amp;sheet=U0&amp;row=2130&amp;col=6&amp;number=3.6&amp;sourceID=14","3.6")</f>
        <v>3.6</v>
      </c>
      <c r="G2130" s="4" t="str">
        <f>HYPERLINK("http://141.218.60.56/~jnz1568/getInfo.php?workbook=14_06.xlsx&amp;sheet=U0&amp;row=2130&amp;col=7&amp;number=0.00138&amp;sourceID=14","0.00138")</f>
        <v>0.00138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HYPERLINK("http://141.218.60.56/~jnz1568/getInfo.php?workbook=14_06.xlsx&amp;sheet=U0&amp;row=2131&amp;col=6&amp;number=3.7&amp;sourceID=14","3.7")</f>
        <v>3.7</v>
      </c>
      <c r="G2131" s="4" t="str">
        <f>HYPERLINK("http://141.218.60.56/~jnz1568/getInfo.php?workbook=14_06.xlsx&amp;sheet=U0&amp;row=2131&amp;col=7&amp;number=0.00138&amp;sourceID=14","0.00138")</f>
        <v>0.00138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HYPERLINK("http://141.218.60.56/~jnz1568/getInfo.php?workbook=14_06.xlsx&amp;sheet=U0&amp;row=2132&amp;col=6&amp;number=3.8&amp;sourceID=14","3.8")</f>
        <v>3.8</v>
      </c>
      <c r="G2132" s="4" t="str">
        <f>HYPERLINK("http://141.218.60.56/~jnz1568/getInfo.php?workbook=14_06.xlsx&amp;sheet=U0&amp;row=2132&amp;col=7&amp;number=0.00138&amp;sourceID=14","0.00138")</f>
        <v>0.00138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HYPERLINK("http://141.218.60.56/~jnz1568/getInfo.php?workbook=14_06.xlsx&amp;sheet=U0&amp;row=2133&amp;col=6&amp;number=3.9&amp;sourceID=14","3.9")</f>
        <v>3.9</v>
      </c>
      <c r="G2133" s="4" t="str">
        <f>HYPERLINK("http://141.218.60.56/~jnz1568/getInfo.php?workbook=14_06.xlsx&amp;sheet=U0&amp;row=2133&amp;col=7&amp;number=0.00138&amp;sourceID=14","0.00138")</f>
        <v>0.00138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HYPERLINK("http://141.218.60.56/~jnz1568/getInfo.php?workbook=14_06.xlsx&amp;sheet=U0&amp;row=2134&amp;col=6&amp;number=4&amp;sourceID=14","4")</f>
        <v>4</v>
      </c>
      <c r="G2134" s="4" t="str">
        <f>HYPERLINK("http://141.218.60.56/~jnz1568/getInfo.php?workbook=14_06.xlsx&amp;sheet=U0&amp;row=2134&amp;col=7&amp;number=0.00138&amp;sourceID=14","0.00138")</f>
        <v>0.00138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HYPERLINK("http://141.218.60.56/~jnz1568/getInfo.php?workbook=14_06.xlsx&amp;sheet=U0&amp;row=2135&amp;col=6&amp;number=4.1&amp;sourceID=14","4.1")</f>
        <v>4.1</v>
      </c>
      <c r="G2135" s="4" t="str">
        <f>HYPERLINK("http://141.218.60.56/~jnz1568/getInfo.php?workbook=14_06.xlsx&amp;sheet=U0&amp;row=2135&amp;col=7&amp;number=0.00138&amp;sourceID=14","0.00138")</f>
        <v>0.00138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HYPERLINK("http://141.218.60.56/~jnz1568/getInfo.php?workbook=14_06.xlsx&amp;sheet=U0&amp;row=2136&amp;col=6&amp;number=4.2&amp;sourceID=14","4.2")</f>
        <v>4.2</v>
      </c>
      <c r="G2136" s="4" t="str">
        <f>HYPERLINK("http://141.218.60.56/~jnz1568/getInfo.php?workbook=14_06.xlsx&amp;sheet=U0&amp;row=2136&amp;col=7&amp;number=0.00137&amp;sourceID=14","0.00137")</f>
        <v>0.00137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HYPERLINK("http://141.218.60.56/~jnz1568/getInfo.php?workbook=14_06.xlsx&amp;sheet=U0&amp;row=2137&amp;col=6&amp;number=4.3&amp;sourceID=14","4.3")</f>
        <v>4.3</v>
      </c>
      <c r="G2137" s="4" t="str">
        <f>HYPERLINK("http://141.218.60.56/~jnz1568/getInfo.php?workbook=14_06.xlsx&amp;sheet=U0&amp;row=2137&amp;col=7&amp;number=0.00137&amp;sourceID=14","0.00137")</f>
        <v>0.00137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HYPERLINK("http://141.218.60.56/~jnz1568/getInfo.php?workbook=14_06.xlsx&amp;sheet=U0&amp;row=2138&amp;col=6&amp;number=4.4&amp;sourceID=14","4.4")</f>
        <v>4.4</v>
      </c>
      <c r="G2138" s="4" t="str">
        <f>HYPERLINK("http://141.218.60.56/~jnz1568/getInfo.php?workbook=14_06.xlsx&amp;sheet=U0&amp;row=2138&amp;col=7&amp;number=0.00137&amp;sourceID=14","0.00137")</f>
        <v>0.00137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HYPERLINK("http://141.218.60.56/~jnz1568/getInfo.php?workbook=14_06.xlsx&amp;sheet=U0&amp;row=2139&amp;col=6&amp;number=4.5&amp;sourceID=14","4.5")</f>
        <v>4.5</v>
      </c>
      <c r="G2139" s="4" t="str">
        <f>HYPERLINK("http://141.218.60.56/~jnz1568/getInfo.php?workbook=14_06.xlsx&amp;sheet=U0&amp;row=2139&amp;col=7&amp;number=0.00137&amp;sourceID=14","0.00137")</f>
        <v>0.00137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HYPERLINK("http://141.218.60.56/~jnz1568/getInfo.php?workbook=14_06.xlsx&amp;sheet=U0&amp;row=2140&amp;col=6&amp;number=4.6&amp;sourceID=14","4.6")</f>
        <v>4.6</v>
      </c>
      <c r="G2140" s="4" t="str">
        <f>HYPERLINK("http://141.218.60.56/~jnz1568/getInfo.php?workbook=14_06.xlsx&amp;sheet=U0&amp;row=2140&amp;col=7&amp;number=0.00136&amp;sourceID=14","0.00136")</f>
        <v>0.00136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HYPERLINK("http://141.218.60.56/~jnz1568/getInfo.php?workbook=14_06.xlsx&amp;sheet=U0&amp;row=2141&amp;col=6&amp;number=4.7&amp;sourceID=14","4.7")</f>
        <v>4.7</v>
      </c>
      <c r="G2141" s="4" t="str">
        <f>HYPERLINK("http://141.218.60.56/~jnz1568/getInfo.php?workbook=14_06.xlsx&amp;sheet=U0&amp;row=2141&amp;col=7&amp;number=0.00136&amp;sourceID=14","0.00136")</f>
        <v>0.00136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HYPERLINK("http://141.218.60.56/~jnz1568/getInfo.php?workbook=14_06.xlsx&amp;sheet=U0&amp;row=2142&amp;col=6&amp;number=4.8&amp;sourceID=14","4.8")</f>
        <v>4.8</v>
      </c>
      <c r="G2142" s="4" t="str">
        <f>HYPERLINK("http://141.218.60.56/~jnz1568/getInfo.php?workbook=14_06.xlsx&amp;sheet=U0&amp;row=2142&amp;col=7&amp;number=0.00135&amp;sourceID=14","0.00135")</f>
        <v>0.00135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HYPERLINK("http://141.218.60.56/~jnz1568/getInfo.php?workbook=14_06.xlsx&amp;sheet=U0&amp;row=2143&amp;col=6&amp;number=4.9&amp;sourceID=14","4.9")</f>
        <v>4.9</v>
      </c>
      <c r="G2143" s="4" t="str">
        <f>HYPERLINK("http://141.218.60.56/~jnz1568/getInfo.php?workbook=14_06.xlsx&amp;sheet=U0&amp;row=2143&amp;col=7&amp;number=0.00135&amp;sourceID=14","0.00135")</f>
        <v>0.00135</v>
      </c>
    </row>
    <row r="2144" spans="1:7">
      <c r="A2144" s="3">
        <v>14</v>
      </c>
      <c r="B2144" s="3">
        <v>6</v>
      </c>
      <c r="C2144" s="3">
        <v>3</v>
      </c>
      <c r="D2144" s="3">
        <v>22</v>
      </c>
      <c r="E2144" s="3">
        <v>1</v>
      </c>
      <c r="F2144" s="4" t="str">
        <f>HYPERLINK("http://141.218.60.56/~jnz1568/getInfo.php?workbook=14_06.xlsx&amp;sheet=U0&amp;row=2144&amp;col=6&amp;number=3&amp;sourceID=14","3")</f>
        <v>3</v>
      </c>
      <c r="G2144" s="4" t="str">
        <f>HYPERLINK("http://141.218.60.56/~jnz1568/getInfo.php?workbook=14_06.xlsx&amp;sheet=U0&amp;row=2144&amp;col=7&amp;number=0.00387&amp;sourceID=14","0.00387")</f>
        <v>0.00387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HYPERLINK("http://141.218.60.56/~jnz1568/getInfo.php?workbook=14_06.xlsx&amp;sheet=U0&amp;row=2145&amp;col=6&amp;number=3.1&amp;sourceID=14","3.1")</f>
        <v>3.1</v>
      </c>
      <c r="G2145" s="4" t="str">
        <f>HYPERLINK("http://141.218.60.56/~jnz1568/getInfo.php?workbook=14_06.xlsx&amp;sheet=U0&amp;row=2145&amp;col=7&amp;number=0.00387&amp;sourceID=14","0.00387")</f>
        <v>0.00387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HYPERLINK("http://141.218.60.56/~jnz1568/getInfo.php?workbook=14_06.xlsx&amp;sheet=U0&amp;row=2146&amp;col=6&amp;number=3.2&amp;sourceID=14","3.2")</f>
        <v>3.2</v>
      </c>
      <c r="G2146" s="4" t="str">
        <f>HYPERLINK("http://141.218.60.56/~jnz1568/getInfo.php?workbook=14_06.xlsx&amp;sheet=U0&amp;row=2146&amp;col=7&amp;number=0.00387&amp;sourceID=14","0.00387")</f>
        <v>0.00387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HYPERLINK("http://141.218.60.56/~jnz1568/getInfo.php?workbook=14_06.xlsx&amp;sheet=U0&amp;row=2147&amp;col=6&amp;number=3.3&amp;sourceID=14","3.3")</f>
        <v>3.3</v>
      </c>
      <c r="G2147" s="4" t="str">
        <f>HYPERLINK("http://141.218.60.56/~jnz1568/getInfo.php?workbook=14_06.xlsx&amp;sheet=U0&amp;row=2147&amp;col=7&amp;number=0.00387&amp;sourceID=14","0.00387")</f>
        <v>0.00387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HYPERLINK("http://141.218.60.56/~jnz1568/getInfo.php?workbook=14_06.xlsx&amp;sheet=U0&amp;row=2148&amp;col=6&amp;number=3.4&amp;sourceID=14","3.4")</f>
        <v>3.4</v>
      </c>
      <c r="G2148" s="4" t="str">
        <f>HYPERLINK("http://141.218.60.56/~jnz1568/getInfo.php?workbook=14_06.xlsx&amp;sheet=U0&amp;row=2148&amp;col=7&amp;number=0.00387&amp;sourceID=14","0.00387")</f>
        <v>0.00387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HYPERLINK("http://141.218.60.56/~jnz1568/getInfo.php?workbook=14_06.xlsx&amp;sheet=U0&amp;row=2149&amp;col=6&amp;number=3.5&amp;sourceID=14","3.5")</f>
        <v>3.5</v>
      </c>
      <c r="G2149" s="4" t="str">
        <f>HYPERLINK("http://141.218.60.56/~jnz1568/getInfo.php?workbook=14_06.xlsx&amp;sheet=U0&amp;row=2149&amp;col=7&amp;number=0.00387&amp;sourceID=14","0.00387")</f>
        <v>0.00387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HYPERLINK("http://141.218.60.56/~jnz1568/getInfo.php?workbook=14_06.xlsx&amp;sheet=U0&amp;row=2150&amp;col=6&amp;number=3.6&amp;sourceID=14","3.6")</f>
        <v>3.6</v>
      </c>
      <c r="G2150" s="4" t="str">
        <f>HYPERLINK("http://141.218.60.56/~jnz1568/getInfo.php?workbook=14_06.xlsx&amp;sheet=U0&amp;row=2150&amp;col=7&amp;number=0.00388&amp;sourceID=14","0.00388")</f>
        <v>0.00388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HYPERLINK("http://141.218.60.56/~jnz1568/getInfo.php?workbook=14_06.xlsx&amp;sheet=U0&amp;row=2151&amp;col=6&amp;number=3.7&amp;sourceID=14","3.7")</f>
        <v>3.7</v>
      </c>
      <c r="G2151" s="4" t="str">
        <f>HYPERLINK("http://141.218.60.56/~jnz1568/getInfo.php?workbook=14_06.xlsx&amp;sheet=U0&amp;row=2151&amp;col=7&amp;number=0.00388&amp;sourceID=14","0.00388")</f>
        <v>0.00388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HYPERLINK("http://141.218.60.56/~jnz1568/getInfo.php?workbook=14_06.xlsx&amp;sheet=U0&amp;row=2152&amp;col=6&amp;number=3.8&amp;sourceID=14","3.8")</f>
        <v>3.8</v>
      </c>
      <c r="G2152" s="4" t="str">
        <f>HYPERLINK("http://141.218.60.56/~jnz1568/getInfo.php?workbook=14_06.xlsx&amp;sheet=U0&amp;row=2152&amp;col=7&amp;number=0.00388&amp;sourceID=14","0.00388")</f>
        <v>0.00388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HYPERLINK("http://141.218.60.56/~jnz1568/getInfo.php?workbook=14_06.xlsx&amp;sheet=U0&amp;row=2153&amp;col=6&amp;number=3.9&amp;sourceID=14","3.9")</f>
        <v>3.9</v>
      </c>
      <c r="G2153" s="4" t="str">
        <f>HYPERLINK("http://141.218.60.56/~jnz1568/getInfo.php?workbook=14_06.xlsx&amp;sheet=U0&amp;row=2153&amp;col=7&amp;number=0.00389&amp;sourceID=14","0.00389")</f>
        <v>0.00389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HYPERLINK("http://141.218.60.56/~jnz1568/getInfo.php?workbook=14_06.xlsx&amp;sheet=U0&amp;row=2154&amp;col=6&amp;number=4&amp;sourceID=14","4")</f>
        <v>4</v>
      </c>
      <c r="G2154" s="4" t="str">
        <f>HYPERLINK("http://141.218.60.56/~jnz1568/getInfo.php?workbook=14_06.xlsx&amp;sheet=U0&amp;row=2154&amp;col=7&amp;number=0.00389&amp;sourceID=14","0.00389")</f>
        <v>0.00389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HYPERLINK("http://141.218.60.56/~jnz1568/getInfo.php?workbook=14_06.xlsx&amp;sheet=U0&amp;row=2155&amp;col=6&amp;number=4.1&amp;sourceID=14","4.1")</f>
        <v>4.1</v>
      </c>
      <c r="G2155" s="4" t="str">
        <f>HYPERLINK("http://141.218.60.56/~jnz1568/getInfo.php?workbook=14_06.xlsx&amp;sheet=U0&amp;row=2155&amp;col=7&amp;number=0.0039&amp;sourceID=14","0.0039")</f>
        <v>0.0039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HYPERLINK("http://141.218.60.56/~jnz1568/getInfo.php?workbook=14_06.xlsx&amp;sheet=U0&amp;row=2156&amp;col=6&amp;number=4.2&amp;sourceID=14","4.2")</f>
        <v>4.2</v>
      </c>
      <c r="G2156" s="4" t="str">
        <f>HYPERLINK("http://141.218.60.56/~jnz1568/getInfo.php?workbook=14_06.xlsx&amp;sheet=U0&amp;row=2156&amp;col=7&amp;number=0.00391&amp;sourceID=14","0.00391")</f>
        <v>0.00391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HYPERLINK("http://141.218.60.56/~jnz1568/getInfo.php?workbook=14_06.xlsx&amp;sheet=U0&amp;row=2157&amp;col=6&amp;number=4.3&amp;sourceID=14","4.3")</f>
        <v>4.3</v>
      </c>
      <c r="G2157" s="4" t="str">
        <f>HYPERLINK("http://141.218.60.56/~jnz1568/getInfo.php?workbook=14_06.xlsx&amp;sheet=U0&amp;row=2157&amp;col=7&amp;number=0.00392&amp;sourceID=14","0.00392")</f>
        <v>0.00392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HYPERLINK("http://141.218.60.56/~jnz1568/getInfo.php?workbook=14_06.xlsx&amp;sheet=U0&amp;row=2158&amp;col=6&amp;number=4.4&amp;sourceID=14","4.4")</f>
        <v>4.4</v>
      </c>
      <c r="G2158" s="4" t="str">
        <f>HYPERLINK("http://141.218.60.56/~jnz1568/getInfo.php?workbook=14_06.xlsx&amp;sheet=U0&amp;row=2158&amp;col=7&amp;number=0.00394&amp;sourceID=14","0.00394")</f>
        <v>0.00394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HYPERLINK("http://141.218.60.56/~jnz1568/getInfo.php?workbook=14_06.xlsx&amp;sheet=U0&amp;row=2159&amp;col=6&amp;number=4.5&amp;sourceID=14","4.5")</f>
        <v>4.5</v>
      </c>
      <c r="G2159" s="4" t="str">
        <f>HYPERLINK("http://141.218.60.56/~jnz1568/getInfo.php?workbook=14_06.xlsx&amp;sheet=U0&amp;row=2159&amp;col=7&amp;number=0.00395&amp;sourceID=14","0.00395")</f>
        <v>0.00395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HYPERLINK("http://141.218.60.56/~jnz1568/getInfo.php?workbook=14_06.xlsx&amp;sheet=U0&amp;row=2160&amp;col=6&amp;number=4.6&amp;sourceID=14","4.6")</f>
        <v>4.6</v>
      </c>
      <c r="G2160" s="4" t="str">
        <f>HYPERLINK("http://141.218.60.56/~jnz1568/getInfo.php?workbook=14_06.xlsx&amp;sheet=U0&amp;row=2160&amp;col=7&amp;number=0.00398&amp;sourceID=14","0.00398")</f>
        <v>0.00398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HYPERLINK("http://141.218.60.56/~jnz1568/getInfo.php?workbook=14_06.xlsx&amp;sheet=U0&amp;row=2161&amp;col=6&amp;number=4.7&amp;sourceID=14","4.7")</f>
        <v>4.7</v>
      </c>
      <c r="G2161" s="4" t="str">
        <f>HYPERLINK("http://141.218.60.56/~jnz1568/getInfo.php?workbook=14_06.xlsx&amp;sheet=U0&amp;row=2161&amp;col=7&amp;number=0.004&amp;sourceID=14","0.004")</f>
        <v>0.004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HYPERLINK("http://141.218.60.56/~jnz1568/getInfo.php?workbook=14_06.xlsx&amp;sheet=U0&amp;row=2162&amp;col=6&amp;number=4.8&amp;sourceID=14","4.8")</f>
        <v>4.8</v>
      </c>
      <c r="G2162" s="4" t="str">
        <f>HYPERLINK("http://141.218.60.56/~jnz1568/getInfo.php?workbook=14_06.xlsx&amp;sheet=U0&amp;row=2162&amp;col=7&amp;number=0.00404&amp;sourceID=14","0.00404")</f>
        <v>0.00404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HYPERLINK("http://141.218.60.56/~jnz1568/getInfo.php?workbook=14_06.xlsx&amp;sheet=U0&amp;row=2163&amp;col=6&amp;number=4.9&amp;sourceID=14","4.9")</f>
        <v>4.9</v>
      </c>
      <c r="G2163" s="4" t="str">
        <f>HYPERLINK("http://141.218.60.56/~jnz1568/getInfo.php?workbook=14_06.xlsx&amp;sheet=U0&amp;row=2163&amp;col=7&amp;number=0.00408&amp;sourceID=14","0.00408")</f>
        <v>0.00408</v>
      </c>
    </row>
    <row r="2164" spans="1:7">
      <c r="A2164" s="3">
        <v>14</v>
      </c>
      <c r="B2164" s="3">
        <v>6</v>
      </c>
      <c r="C2164" s="3">
        <v>3</v>
      </c>
      <c r="D2164" s="3">
        <v>23</v>
      </c>
      <c r="E2164" s="3">
        <v>1</v>
      </c>
      <c r="F2164" s="4" t="str">
        <f>HYPERLINK("http://141.218.60.56/~jnz1568/getInfo.php?workbook=14_06.xlsx&amp;sheet=U0&amp;row=2164&amp;col=6&amp;number=3&amp;sourceID=14","3")</f>
        <v>3</v>
      </c>
      <c r="G2164" s="4" t="str">
        <f>HYPERLINK("http://141.218.60.56/~jnz1568/getInfo.php?workbook=14_06.xlsx&amp;sheet=U0&amp;row=2164&amp;col=7&amp;number=0.0103&amp;sourceID=14","0.0103")</f>
        <v>0.0103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HYPERLINK("http://141.218.60.56/~jnz1568/getInfo.php?workbook=14_06.xlsx&amp;sheet=U0&amp;row=2165&amp;col=6&amp;number=3.1&amp;sourceID=14","3.1")</f>
        <v>3.1</v>
      </c>
      <c r="G2165" s="4" t="str">
        <f>HYPERLINK("http://141.218.60.56/~jnz1568/getInfo.php?workbook=14_06.xlsx&amp;sheet=U0&amp;row=2165&amp;col=7&amp;number=0.0103&amp;sourceID=14","0.0103")</f>
        <v>0.0103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HYPERLINK("http://141.218.60.56/~jnz1568/getInfo.php?workbook=14_06.xlsx&amp;sheet=U0&amp;row=2166&amp;col=6&amp;number=3.2&amp;sourceID=14","3.2")</f>
        <v>3.2</v>
      </c>
      <c r="G2166" s="4" t="str">
        <f>HYPERLINK("http://141.218.60.56/~jnz1568/getInfo.php?workbook=14_06.xlsx&amp;sheet=U0&amp;row=2166&amp;col=7&amp;number=0.0103&amp;sourceID=14","0.0103")</f>
        <v>0.0103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HYPERLINK("http://141.218.60.56/~jnz1568/getInfo.php?workbook=14_06.xlsx&amp;sheet=U0&amp;row=2167&amp;col=6&amp;number=3.3&amp;sourceID=14","3.3")</f>
        <v>3.3</v>
      </c>
      <c r="G2167" s="4" t="str">
        <f>HYPERLINK("http://141.218.60.56/~jnz1568/getInfo.php?workbook=14_06.xlsx&amp;sheet=U0&amp;row=2167&amp;col=7&amp;number=0.0103&amp;sourceID=14","0.0103")</f>
        <v>0.0103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HYPERLINK("http://141.218.60.56/~jnz1568/getInfo.php?workbook=14_06.xlsx&amp;sheet=U0&amp;row=2168&amp;col=6&amp;number=3.4&amp;sourceID=14","3.4")</f>
        <v>3.4</v>
      </c>
      <c r="G2168" s="4" t="str">
        <f>HYPERLINK("http://141.218.60.56/~jnz1568/getInfo.php?workbook=14_06.xlsx&amp;sheet=U0&amp;row=2168&amp;col=7&amp;number=0.0103&amp;sourceID=14","0.0103")</f>
        <v>0.0103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HYPERLINK("http://141.218.60.56/~jnz1568/getInfo.php?workbook=14_06.xlsx&amp;sheet=U0&amp;row=2169&amp;col=6&amp;number=3.5&amp;sourceID=14","3.5")</f>
        <v>3.5</v>
      </c>
      <c r="G2169" s="4" t="str">
        <f>HYPERLINK("http://141.218.60.56/~jnz1568/getInfo.php?workbook=14_06.xlsx&amp;sheet=U0&amp;row=2169&amp;col=7&amp;number=0.0103&amp;sourceID=14","0.0103")</f>
        <v>0.0103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HYPERLINK("http://141.218.60.56/~jnz1568/getInfo.php?workbook=14_06.xlsx&amp;sheet=U0&amp;row=2170&amp;col=6&amp;number=3.6&amp;sourceID=14","3.6")</f>
        <v>3.6</v>
      </c>
      <c r="G2170" s="4" t="str">
        <f>HYPERLINK("http://141.218.60.56/~jnz1568/getInfo.php?workbook=14_06.xlsx&amp;sheet=U0&amp;row=2170&amp;col=7&amp;number=0.0104&amp;sourceID=14","0.0104")</f>
        <v>0.0104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HYPERLINK("http://141.218.60.56/~jnz1568/getInfo.php?workbook=14_06.xlsx&amp;sheet=U0&amp;row=2171&amp;col=6&amp;number=3.7&amp;sourceID=14","3.7")</f>
        <v>3.7</v>
      </c>
      <c r="G2171" s="4" t="str">
        <f>HYPERLINK("http://141.218.60.56/~jnz1568/getInfo.php?workbook=14_06.xlsx&amp;sheet=U0&amp;row=2171&amp;col=7&amp;number=0.0104&amp;sourceID=14","0.0104")</f>
        <v>0.0104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HYPERLINK("http://141.218.60.56/~jnz1568/getInfo.php?workbook=14_06.xlsx&amp;sheet=U0&amp;row=2172&amp;col=6&amp;number=3.8&amp;sourceID=14","3.8")</f>
        <v>3.8</v>
      </c>
      <c r="G2172" s="4" t="str">
        <f>HYPERLINK("http://141.218.60.56/~jnz1568/getInfo.php?workbook=14_06.xlsx&amp;sheet=U0&amp;row=2172&amp;col=7&amp;number=0.0104&amp;sourceID=14","0.0104")</f>
        <v>0.0104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HYPERLINK("http://141.218.60.56/~jnz1568/getInfo.php?workbook=14_06.xlsx&amp;sheet=U0&amp;row=2173&amp;col=6&amp;number=3.9&amp;sourceID=14","3.9")</f>
        <v>3.9</v>
      </c>
      <c r="G2173" s="4" t="str">
        <f>HYPERLINK("http://141.218.60.56/~jnz1568/getInfo.php?workbook=14_06.xlsx&amp;sheet=U0&amp;row=2173&amp;col=7&amp;number=0.0104&amp;sourceID=14","0.0104")</f>
        <v>0.0104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HYPERLINK("http://141.218.60.56/~jnz1568/getInfo.php?workbook=14_06.xlsx&amp;sheet=U0&amp;row=2174&amp;col=6&amp;number=4&amp;sourceID=14","4")</f>
        <v>4</v>
      </c>
      <c r="G2174" s="4" t="str">
        <f>HYPERLINK("http://141.218.60.56/~jnz1568/getInfo.php?workbook=14_06.xlsx&amp;sheet=U0&amp;row=2174&amp;col=7&amp;number=0.0104&amp;sourceID=14","0.0104")</f>
        <v>0.0104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HYPERLINK("http://141.218.60.56/~jnz1568/getInfo.php?workbook=14_06.xlsx&amp;sheet=U0&amp;row=2175&amp;col=6&amp;number=4.1&amp;sourceID=14","4.1")</f>
        <v>4.1</v>
      </c>
      <c r="G2175" s="4" t="str">
        <f>HYPERLINK("http://141.218.60.56/~jnz1568/getInfo.php?workbook=14_06.xlsx&amp;sheet=U0&amp;row=2175&amp;col=7&amp;number=0.0104&amp;sourceID=14","0.0104")</f>
        <v>0.0104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HYPERLINK("http://141.218.60.56/~jnz1568/getInfo.php?workbook=14_06.xlsx&amp;sheet=U0&amp;row=2176&amp;col=6&amp;number=4.2&amp;sourceID=14","4.2")</f>
        <v>4.2</v>
      </c>
      <c r="G2176" s="4" t="str">
        <f>HYPERLINK("http://141.218.60.56/~jnz1568/getInfo.php?workbook=14_06.xlsx&amp;sheet=U0&amp;row=2176&amp;col=7&amp;number=0.0105&amp;sourceID=14","0.0105")</f>
        <v>0.0105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HYPERLINK("http://141.218.60.56/~jnz1568/getInfo.php?workbook=14_06.xlsx&amp;sheet=U0&amp;row=2177&amp;col=6&amp;number=4.3&amp;sourceID=14","4.3")</f>
        <v>4.3</v>
      </c>
      <c r="G2177" s="4" t="str">
        <f>HYPERLINK("http://141.218.60.56/~jnz1568/getInfo.php?workbook=14_06.xlsx&amp;sheet=U0&amp;row=2177&amp;col=7&amp;number=0.0105&amp;sourceID=14","0.0105")</f>
        <v>0.0105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HYPERLINK("http://141.218.60.56/~jnz1568/getInfo.php?workbook=14_06.xlsx&amp;sheet=U0&amp;row=2178&amp;col=6&amp;number=4.4&amp;sourceID=14","4.4")</f>
        <v>4.4</v>
      </c>
      <c r="G2178" s="4" t="str">
        <f>HYPERLINK("http://141.218.60.56/~jnz1568/getInfo.php?workbook=14_06.xlsx&amp;sheet=U0&amp;row=2178&amp;col=7&amp;number=0.0106&amp;sourceID=14","0.0106")</f>
        <v>0.0106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HYPERLINK("http://141.218.60.56/~jnz1568/getInfo.php?workbook=14_06.xlsx&amp;sheet=U0&amp;row=2179&amp;col=6&amp;number=4.5&amp;sourceID=14","4.5")</f>
        <v>4.5</v>
      </c>
      <c r="G2179" s="4" t="str">
        <f>HYPERLINK("http://141.218.60.56/~jnz1568/getInfo.php?workbook=14_06.xlsx&amp;sheet=U0&amp;row=2179&amp;col=7&amp;number=0.0106&amp;sourceID=14","0.0106")</f>
        <v>0.0106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HYPERLINK("http://141.218.60.56/~jnz1568/getInfo.php?workbook=14_06.xlsx&amp;sheet=U0&amp;row=2180&amp;col=6&amp;number=4.6&amp;sourceID=14","4.6")</f>
        <v>4.6</v>
      </c>
      <c r="G2180" s="4" t="str">
        <f>HYPERLINK("http://141.218.60.56/~jnz1568/getInfo.php?workbook=14_06.xlsx&amp;sheet=U0&amp;row=2180&amp;col=7&amp;number=0.0107&amp;sourceID=14","0.0107")</f>
        <v>0.0107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HYPERLINK("http://141.218.60.56/~jnz1568/getInfo.php?workbook=14_06.xlsx&amp;sheet=U0&amp;row=2181&amp;col=6&amp;number=4.7&amp;sourceID=14","4.7")</f>
        <v>4.7</v>
      </c>
      <c r="G2181" s="4" t="str">
        <f>HYPERLINK("http://141.218.60.56/~jnz1568/getInfo.php?workbook=14_06.xlsx&amp;sheet=U0&amp;row=2181&amp;col=7&amp;number=0.0108&amp;sourceID=14","0.0108")</f>
        <v>0.0108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HYPERLINK("http://141.218.60.56/~jnz1568/getInfo.php?workbook=14_06.xlsx&amp;sheet=U0&amp;row=2182&amp;col=6&amp;number=4.8&amp;sourceID=14","4.8")</f>
        <v>4.8</v>
      </c>
      <c r="G2182" s="4" t="str">
        <f>HYPERLINK("http://141.218.60.56/~jnz1568/getInfo.php?workbook=14_06.xlsx&amp;sheet=U0&amp;row=2182&amp;col=7&amp;number=0.0109&amp;sourceID=14","0.0109")</f>
        <v>0.0109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HYPERLINK("http://141.218.60.56/~jnz1568/getInfo.php?workbook=14_06.xlsx&amp;sheet=U0&amp;row=2183&amp;col=6&amp;number=4.9&amp;sourceID=14","4.9")</f>
        <v>4.9</v>
      </c>
      <c r="G2183" s="4" t="str">
        <f>HYPERLINK("http://141.218.60.56/~jnz1568/getInfo.php?workbook=14_06.xlsx&amp;sheet=U0&amp;row=2183&amp;col=7&amp;number=0.0111&amp;sourceID=14","0.0111")</f>
        <v>0.0111</v>
      </c>
    </row>
    <row r="2184" spans="1:7">
      <c r="A2184" s="3">
        <v>14</v>
      </c>
      <c r="B2184" s="3">
        <v>6</v>
      </c>
      <c r="C2184" s="3">
        <v>3</v>
      </c>
      <c r="D2184" s="3">
        <v>24</v>
      </c>
      <c r="E2184" s="3">
        <v>1</v>
      </c>
      <c r="F2184" s="4" t="str">
        <f>HYPERLINK("http://141.218.60.56/~jnz1568/getInfo.php?workbook=14_06.xlsx&amp;sheet=U0&amp;row=2184&amp;col=6&amp;number=3&amp;sourceID=14","3")</f>
        <v>3</v>
      </c>
      <c r="G2184" s="4" t="str">
        <f>HYPERLINK("http://141.218.60.56/~jnz1568/getInfo.php?workbook=14_06.xlsx&amp;sheet=U0&amp;row=2184&amp;col=7&amp;number=0.00792&amp;sourceID=14","0.00792")</f>
        <v>0.00792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HYPERLINK("http://141.218.60.56/~jnz1568/getInfo.php?workbook=14_06.xlsx&amp;sheet=U0&amp;row=2185&amp;col=6&amp;number=3.1&amp;sourceID=14","3.1")</f>
        <v>3.1</v>
      </c>
      <c r="G2185" s="4" t="str">
        <f>HYPERLINK("http://141.218.60.56/~jnz1568/getInfo.php?workbook=14_06.xlsx&amp;sheet=U0&amp;row=2185&amp;col=7&amp;number=0.00792&amp;sourceID=14","0.00792")</f>
        <v>0.00792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HYPERLINK("http://141.218.60.56/~jnz1568/getInfo.php?workbook=14_06.xlsx&amp;sheet=U0&amp;row=2186&amp;col=6&amp;number=3.2&amp;sourceID=14","3.2")</f>
        <v>3.2</v>
      </c>
      <c r="G2186" s="4" t="str">
        <f>HYPERLINK("http://141.218.60.56/~jnz1568/getInfo.php?workbook=14_06.xlsx&amp;sheet=U0&amp;row=2186&amp;col=7&amp;number=0.00792&amp;sourceID=14","0.00792")</f>
        <v>0.00792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HYPERLINK("http://141.218.60.56/~jnz1568/getInfo.php?workbook=14_06.xlsx&amp;sheet=U0&amp;row=2187&amp;col=6&amp;number=3.3&amp;sourceID=14","3.3")</f>
        <v>3.3</v>
      </c>
      <c r="G2187" s="4" t="str">
        <f>HYPERLINK("http://141.218.60.56/~jnz1568/getInfo.php?workbook=14_06.xlsx&amp;sheet=U0&amp;row=2187&amp;col=7&amp;number=0.00791&amp;sourceID=14","0.00791")</f>
        <v>0.00791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HYPERLINK("http://141.218.60.56/~jnz1568/getInfo.php?workbook=14_06.xlsx&amp;sheet=U0&amp;row=2188&amp;col=6&amp;number=3.4&amp;sourceID=14","3.4")</f>
        <v>3.4</v>
      </c>
      <c r="G2188" s="4" t="str">
        <f>HYPERLINK("http://141.218.60.56/~jnz1568/getInfo.php?workbook=14_06.xlsx&amp;sheet=U0&amp;row=2188&amp;col=7&amp;number=0.00791&amp;sourceID=14","0.00791")</f>
        <v>0.00791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HYPERLINK("http://141.218.60.56/~jnz1568/getInfo.php?workbook=14_06.xlsx&amp;sheet=U0&amp;row=2189&amp;col=6&amp;number=3.5&amp;sourceID=14","3.5")</f>
        <v>3.5</v>
      </c>
      <c r="G2189" s="4" t="str">
        <f>HYPERLINK("http://141.218.60.56/~jnz1568/getInfo.php?workbook=14_06.xlsx&amp;sheet=U0&amp;row=2189&amp;col=7&amp;number=0.00791&amp;sourceID=14","0.00791")</f>
        <v>0.00791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HYPERLINK("http://141.218.60.56/~jnz1568/getInfo.php?workbook=14_06.xlsx&amp;sheet=U0&amp;row=2190&amp;col=6&amp;number=3.6&amp;sourceID=14","3.6")</f>
        <v>3.6</v>
      </c>
      <c r="G2190" s="4" t="str">
        <f>HYPERLINK("http://141.218.60.56/~jnz1568/getInfo.php?workbook=14_06.xlsx&amp;sheet=U0&amp;row=2190&amp;col=7&amp;number=0.00791&amp;sourceID=14","0.00791")</f>
        <v>0.00791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HYPERLINK("http://141.218.60.56/~jnz1568/getInfo.php?workbook=14_06.xlsx&amp;sheet=U0&amp;row=2191&amp;col=6&amp;number=3.7&amp;sourceID=14","3.7")</f>
        <v>3.7</v>
      </c>
      <c r="G2191" s="4" t="str">
        <f>HYPERLINK("http://141.218.60.56/~jnz1568/getInfo.php?workbook=14_06.xlsx&amp;sheet=U0&amp;row=2191&amp;col=7&amp;number=0.00791&amp;sourceID=14","0.00791")</f>
        <v>0.00791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HYPERLINK("http://141.218.60.56/~jnz1568/getInfo.php?workbook=14_06.xlsx&amp;sheet=U0&amp;row=2192&amp;col=6&amp;number=3.8&amp;sourceID=14","3.8")</f>
        <v>3.8</v>
      </c>
      <c r="G2192" s="4" t="str">
        <f>HYPERLINK("http://141.218.60.56/~jnz1568/getInfo.php?workbook=14_06.xlsx&amp;sheet=U0&amp;row=2192&amp;col=7&amp;number=0.0079&amp;sourceID=14","0.0079")</f>
        <v>0.0079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HYPERLINK("http://141.218.60.56/~jnz1568/getInfo.php?workbook=14_06.xlsx&amp;sheet=U0&amp;row=2193&amp;col=6&amp;number=3.9&amp;sourceID=14","3.9")</f>
        <v>3.9</v>
      </c>
      <c r="G2193" s="4" t="str">
        <f>HYPERLINK("http://141.218.60.56/~jnz1568/getInfo.php?workbook=14_06.xlsx&amp;sheet=U0&amp;row=2193&amp;col=7&amp;number=0.0079&amp;sourceID=14","0.0079")</f>
        <v>0.0079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HYPERLINK("http://141.218.60.56/~jnz1568/getInfo.php?workbook=14_06.xlsx&amp;sheet=U0&amp;row=2194&amp;col=6&amp;number=4&amp;sourceID=14","4")</f>
        <v>4</v>
      </c>
      <c r="G2194" s="4" t="str">
        <f>HYPERLINK("http://141.218.60.56/~jnz1568/getInfo.php?workbook=14_06.xlsx&amp;sheet=U0&amp;row=2194&amp;col=7&amp;number=0.00789&amp;sourceID=14","0.00789")</f>
        <v>0.00789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HYPERLINK("http://141.218.60.56/~jnz1568/getInfo.php?workbook=14_06.xlsx&amp;sheet=U0&amp;row=2195&amp;col=6&amp;number=4.1&amp;sourceID=14","4.1")</f>
        <v>4.1</v>
      </c>
      <c r="G2195" s="4" t="str">
        <f>HYPERLINK("http://141.218.60.56/~jnz1568/getInfo.php?workbook=14_06.xlsx&amp;sheet=U0&amp;row=2195&amp;col=7&amp;number=0.00788&amp;sourceID=14","0.00788")</f>
        <v>0.00788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HYPERLINK("http://141.218.60.56/~jnz1568/getInfo.php?workbook=14_06.xlsx&amp;sheet=U0&amp;row=2196&amp;col=6&amp;number=4.2&amp;sourceID=14","4.2")</f>
        <v>4.2</v>
      </c>
      <c r="G2196" s="4" t="str">
        <f>HYPERLINK("http://141.218.60.56/~jnz1568/getInfo.php?workbook=14_06.xlsx&amp;sheet=U0&amp;row=2196&amp;col=7&amp;number=0.00787&amp;sourceID=14","0.00787")</f>
        <v>0.00787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HYPERLINK("http://141.218.60.56/~jnz1568/getInfo.php?workbook=14_06.xlsx&amp;sheet=U0&amp;row=2197&amp;col=6&amp;number=4.3&amp;sourceID=14","4.3")</f>
        <v>4.3</v>
      </c>
      <c r="G2197" s="4" t="str">
        <f>HYPERLINK("http://141.218.60.56/~jnz1568/getInfo.php?workbook=14_06.xlsx&amp;sheet=U0&amp;row=2197&amp;col=7&amp;number=0.00786&amp;sourceID=14","0.00786")</f>
        <v>0.00786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HYPERLINK("http://141.218.60.56/~jnz1568/getInfo.php?workbook=14_06.xlsx&amp;sheet=U0&amp;row=2198&amp;col=6&amp;number=4.4&amp;sourceID=14","4.4")</f>
        <v>4.4</v>
      </c>
      <c r="G2198" s="4" t="str">
        <f>HYPERLINK("http://141.218.60.56/~jnz1568/getInfo.php?workbook=14_06.xlsx&amp;sheet=U0&amp;row=2198&amp;col=7&amp;number=0.00785&amp;sourceID=14","0.00785")</f>
        <v>0.00785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HYPERLINK("http://141.218.60.56/~jnz1568/getInfo.php?workbook=14_06.xlsx&amp;sheet=U0&amp;row=2199&amp;col=6&amp;number=4.5&amp;sourceID=14","4.5")</f>
        <v>4.5</v>
      </c>
      <c r="G2199" s="4" t="str">
        <f>HYPERLINK("http://141.218.60.56/~jnz1568/getInfo.php?workbook=14_06.xlsx&amp;sheet=U0&amp;row=2199&amp;col=7&amp;number=0.00783&amp;sourceID=14","0.00783")</f>
        <v>0.00783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HYPERLINK("http://141.218.60.56/~jnz1568/getInfo.php?workbook=14_06.xlsx&amp;sheet=U0&amp;row=2200&amp;col=6&amp;number=4.6&amp;sourceID=14","4.6")</f>
        <v>4.6</v>
      </c>
      <c r="G2200" s="4" t="str">
        <f>HYPERLINK("http://141.218.60.56/~jnz1568/getInfo.php?workbook=14_06.xlsx&amp;sheet=U0&amp;row=2200&amp;col=7&amp;number=0.0078&amp;sourceID=14","0.0078")</f>
        <v>0.0078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HYPERLINK("http://141.218.60.56/~jnz1568/getInfo.php?workbook=14_06.xlsx&amp;sheet=U0&amp;row=2201&amp;col=6&amp;number=4.7&amp;sourceID=14","4.7")</f>
        <v>4.7</v>
      </c>
      <c r="G2201" s="4" t="str">
        <f>HYPERLINK("http://141.218.60.56/~jnz1568/getInfo.php?workbook=14_06.xlsx&amp;sheet=U0&amp;row=2201&amp;col=7&amp;number=0.00777&amp;sourceID=14","0.00777")</f>
        <v>0.00777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HYPERLINK("http://141.218.60.56/~jnz1568/getInfo.php?workbook=14_06.xlsx&amp;sheet=U0&amp;row=2202&amp;col=6&amp;number=4.8&amp;sourceID=14","4.8")</f>
        <v>4.8</v>
      </c>
      <c r="G2202" s="4" t="str">
        <f>HYPERLINK("http://141.218.60.56/~jnz1568/getInfo.php?workbook=14_06.xlsx&amp;sheet=U0&amp;row=2202&amp;col=7&amp;number=0.00774&amp;sourceID=14","0.00774")</f>
        <v>0.00774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HYPERLINK("http://141.218.60.56/~jnz1568/getInfo.php?workbook=14_06.xlsx&amp;sheet=U0&amp;row=2203&amp;col=6&amp;number=4.9&amp;sourceID=14","4.9")</f>
        <v>4.9</v>
      </c>
      <c r="G2203" s="4" t="str">
        <f>HYPERLINK("http://141.218.60.56/~jnz1568/getInfo.php?workbook=14_06.xlsx&amp;sheet=U0&amp;row=2203&amp;col=7&amp;number=0.00769&amp;sourceID=14","0.00769")</f>
        <v>0.00769</v>
      </c>
    </row>
    <row r="2204" spans="1:7">
      <c r="A2204" s="3">
        <v>14</v>
      </c>
      <c r="B2204" s="3">
        <v>6</v>
      </c>
      <c r="C2204" s="3">
        <v>3</v>
      </c>
      <c r="D2204" s="3">
        <v>25</v>
      </c>
      <c r="E2204" s="3">
        <v>1</v>
      </c>
      <c r="F2204" s="4" t="str">
        <f>HYPERLINK("http://141.218.60.56/~jnz1568/getInfo.php?workbook=14_06.xlsx&amp;sheet=U0&amp;row=2204&amp;col=6&amp;number=3&amp;sourceID=14","3")</f>
        <v>3</v>
      </c>
      <c r="G2204" s="4" t="str">
        <f>HYPERLINK("http://141.218.60.56/~jnz1568/getInfo.php?workbook=14_06.xlsx&amp;sheet=U0&amp;row=2204&amp;col=7&amp;number=0.0133&amp;sourceID=14","0.0133")</f>
        <v>0.0133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HYPERLINK("http://141.218.60.56/~jnz1568/getInfo.php?workbook=14_06.xlsx&amp;sheet=U0&amp;row=2205&amp;col=6&amp;number=3.1&amp;sourceID=14","3.1")</f>
        <v>3.1</v>
      </c>
      <c r="G2205" s="4" t="str">
        <f>HYPERLINK("http://141.218.60.56/~jnz1568/getInfo.php?workbook=14_06.xlsx&amp;sheet=U0&amp;row=2205&amp;col=7&amp;number=0.0133&amp;sourceID=14","0.0133")</f>
        <v>0.0133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HYPERLINK("http://141.218.60.56/~jnz1568/getInfo.php?workbook=14_06.xlsx&amp;sheet=U0&amp;row=2206&amp;col=6&amp;number=3.2&amp;sourceID=14","3.2")</f>
        <v>3.2</v>
      </c>
      <c r="G2206" s="4" t="str">
        <f>HYPERLINK("http://141.218.60.56/~jnz1568/getInfo.php?workbook=14_06.xlsx&amp;sheet=U0&amp;row=2206&amp;col=7&amp;number=0.0133&amp;sourceID=14","0.0133")</f>
        <v>0.0133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HYPERLINK("http://141.218.60.56/~jnz1568/getInfo.php?workbook=14_06.xlsx&amp;sheet=U0&amp;row=2207&amp;col=6&amp;number=3.3&amp;sourceID=14","3.3")</f>
        <v>3.3</v>
      </c>
      <c r="G2207" s="4" t="str">
        <f>HYPERLINK("http://141.218.60.56/~jnz1568/getInfo.php?workbook=14_06.xlsx&amp;sheet=U0&amp;row=2207&amp;col=7&amp;number=0.0133&amp;sourceID=14","0.0133")</f>
        <v>0.0133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HYPERLINK("http://141.218.60.56/~jnz1568/getInfo.php?workbook=14_06.xlsx&amp;sheet=U0&amp;row=2208&amp;col=6&amp;number=3.4&amp;sourceID=14","3.4")</f>
        <v>3.4</v>
      </c>
      <c r="G2208" s="4" t="str">
        <f>HYPERLINK("http://141.218.60.56/~jnz1568/getInfo.php?workbook=14_06.xlsx&amp;sheet=U0&amp;row=2208&amp;col=7&amp;number=0.0133&amp;sourceID=14","0.0133")</f>
        <v>0.0133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HYPERLINK("http://141.218.60.56/~jnz1568/getInfo.php?workbook=14_06.xlsx&amp;sheet=U0&amp;row=2209&amp;col=6&amp;number=3.5&amp;sourceID=14","3.5")</f>
        <v>3.5</v>
      </c>
      <c r="G2209" s="4" t="str">
        <f>HYPERLINK("http://141.218.60.56/~jnz1568/getInfo.php?workbook=14_06.xlsx&amp;sheet=U0&amp;row=2209&amp;col=7&amp;number=0.0133&amp;sourceID=14","0.0133")</f>
        <v>0.0133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HYPERLINK("http://141.218.60.56/~jnz1568/getInfo.php?workbook=14_06.xlsx&amp;sheet=U0&amp;row=2210&amp;col=6&amp;number=3.6&amp;sourceID=14","3.6")</f>
        <v>3.6</v>
      </c>
      <c r="G2210" s="4" t="str">
        <f>HYPERLINK("http://141.218.60.56/~jnz1568/getInfo.php?workbook=14_06.xlsx&amp;sheet=U0&amp;row=2210&amp;col=7&amp;number=0.0133&amp;sourceID=14","0.0133")</f>
        <v>0.0133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HYPERLINK("http://141.218.60.56/~jnz1568/getInfo.php?workbook=14_06.xlsx&amp;sheet=U0&amp;row=2211&amp;col=6&amp;number=3.7&amp;sourceID=14","3.7")</f>
        <v>3.7</v>
      </c>
      <c r="G2211" s="4" t="str">
        <f>HYPERLINK("http://141.218.60.56/~jnz1568/getInfo.php?workbook=14_06.xlsx&amp;sheet=U0&amp;row=2211&amp;col=7&amp;number=0.0133&amp;sourceID=14","0.0133")</f>
        <v>0.0133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HYPERLINK("http://141.218.60.56/~jnz1568/getInfo.php?workbook=14_06.xlsx&amp;sheet=U0&amp;row=2212&amp;col=6&amp;number=3.8&amp;sourceID=14","3.8")</f>
        <v>3.8</v>
      </c>
      <c r="G2212" s="4" t="str">
        <f>HYPERLINK("http://141.218.60.56/~jnz1568/getInfo.php?workbook=14_06.xlsx&amp;sheet=U0&amp;row=2212&amp;col=7&amp;number=0.0133&amp;sourceID=14","0.0133")</f>
        <v>0.0133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HYPERLINK("http://141.218.60.56/~jnz1568/getInfo.php?workbook=14_06.xlsx&amp;sheet=U0&amp;row=2213&amp;col=6&amp;number=3.9&amp;sourceID=14","3.9")</f>
        <v>3.9</v>
      </c>
      <c r="G2213" s="4" t="str">
        <f>HYPERLINK("http://141.218.60.56/~jnz1568/getInfo.php?workbook=14_06.xlsx&amp;sheet=U0&amp;row=2213&amp;col=7&amp;number=0.0132&amp;sourceID=14","0.0132")</f>
        <v>0.0132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HYPERLINK("http://141.218.60.56/~jnz1568/getInfo.php?workbook=14_06.xlsx&amp;sheet=U0&amp;row=2214&amp;col=6&amp;number=4&amp;sourceID=14","4")</f>
        <v>4</v>
      </c>
      <c r="G2214" s="4" t="str">
        <f>HYPERLINK("http://141.218.60.56/~jnz1568/getInfo.php?workbook=14_06.xlsx&amp;sheet=U0&amp;row=2214&amp;col=7&amp;number=0.0132&amp;sourceID=14","0.0132")</f>
        <v>0.0132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HYPERLINK("http://141.218.60.56/~jnz1568/getInfo.php?workbook=14_06.xlsx&amp;sheet=U0&amp;row=2215&amp;col=6&amp;number=4.1&amp;sourceID=14","4.1")</f>
        <v>4.1</v>
      </c>
      <c r="G2215" s="4" t="str">
        <f>HYPERLINK("http://141.218.60.56/~jnz1568/getInfo.php?workbook=14_06.xlsx&amp;sheet=U0&amp;row=2215&amp;col=7&amp;number=0.0132&amp;sourceID=14","0.0132")</f>
        <v>0.0132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HYPERLINK("http://141.218.60.56/~jnz1568/getInfo.php?workbook=14_06.xlsx&amp;sheet=U0&amp;row=2216&amp;col=6&amp;number=4.2&amp;sourceID=14","4.2")</f>
        <v>4.2</v>
      </c>
      <c r="G2216" s="4" t="str">
        <f>HYPERLINK("http://141.218.60.56/~jnz1568/getInfo.php?workbook=14_06.xlsx&amp;sheet=U0&amp;row=2216&amp;col=7&amp;number=0.0132&amp;sourceID=14","0.0132")</f>
        <v>0.0132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HYPERLINK("http://141.218.60.56/~jnz1568/getInfo.php?workbook=14_06.xlsx&amp;sheet=U0&amp;row=2217&amp;col=6&amp;number=4.3&amp;sourceID=14","4.3")</f>
        <v>4.3</v>
      </c>
      <c r="G2217" s="4" t="str">
        <f>HYPERLINK("http://141.218.60.56/~jnz1568/getInfo.php?workbook=14_06.xlsx&amp;sheet=U0&amp;row=2217&amp;col=7&amp;number=0.0132&amp;sourceID=14","0.0132")</f>
        <v>0.0132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HYPERLINK("http://141.218.60.56/~jnz1568/getInfo.php?workbook=14_06.xlsx&amp;sheet=U0&amp;row=2218&amp;col=6&amp;number=4.4&amp;sourceID=14","4.4")</f>
        <v>4.4</v>
      </c>
      <c r="G2218" s="4" t="str">
        <f>HYPERLINK("http://141.218.60.56/~jnz1568/getInfo.php?workbook=14_06.xlsx&amp;sheet=U0&amp;row=2218&amp;col=7&amp;number=0.0132&amp;sourceID=14","0.0132")</f>
        <v>0.0132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HYPERLINK("http://141.218.60.56/~jnz1568/getInfo.php?workbook=14_06.xlsx&amp;sheet=U0&amp;row=2219&amp;col=6&amp;number=4.5&amp;sourceID=14","4.5")</f>
        <v>4.5</v>
      </c>
      <c r="G2219" s="4" t="str">
        <f>HYPERLINK("http://141.218.60.56/~jnz1568/getInfo.php?workbook=14_06.xlsx&amp;sheet=U0&amp;row=2219&amp;col=7&amp;number=0.0131&amp;sourceID=14","0.0131")</f>
        <v>0.0131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HYPERLINK("http://141.218.60.56/~jnz1568/getInfo.php?workbook=14_06.xlsx&amp;sheet=U0&amp;row=2220&amp;col=6&amp;number=4.6&amp;sourceID=14","4.6")</f>
        <v>4.6</v>
      </c>
      <c r="G2220" s="4" t="str">
        <f>HYPERLINK("http://141.218.60.56/~jnz1568/getInfo.php?workbook=14_06.xlsx&amp;sheet=U0&amp;row=2220&amp;col=7&amp;number=0.0131&amp;sourceID=14","0.0131")</f>
        <v>0.0131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HYPERLINK("http://141.218.60.56/~jnz1568/getInfo.php?workbook=14_06.xlsx&amp;sheet=U0&amp;row=2221&amp;col=6&amp;number=4.7&amp;sourceID=14","4.7")</f>
        <v>4.7</v>
      </c>
      <c r="G2221" s="4" t="str">
        <f>HYPERLINK("http://141.218.60.56/~jnz1568/getInfo.php?workbook=14_06.xlsx&amp;sheet=U0&amp;row=2221&amp;col=7&amp;number=0.0131&amp;sourceID=14","0.0131")</f>
        <v>0.0131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HYPERLINK("http://141.218.60.56/~jnz1568/getInfo.php?workbook=14_06.xlsx&amp;sheet=U0&amp;row=2222&amp;col=6&amp;number=4.8&amp;sourceID=14","4.8")</f>
        <v>4.8</v>
      </c>
      <c r="G2222" s="4" t="str">
        <f>HYPERLINK("http://141.218.60.56/~jnz1568/getInfo.php?workbook=14_06.xlsx&amp;sheet=U0&amp;row=2222&amp;col=7&amp;number=0.013&amp;sourceID=14","0.013")</f>
        <v>0.013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HYPERLINK("http://141.218.60.56/~jnz1568/getInfo.php?workbook=14_06.xlsx&amp;sheet=U0&amp;row=2223&amp;col=6&amp;number=4.9&amp;sourceID=14","4.9")</f>
        <v>4.9</v>
      </c>
      <c r="G2223" s="4" t="str">
        <f>HYPERLINK("http://141.218.60.56/~jnz1568/getInfo.php?workbook=14_06.xlsx&amp;sheet=U0&amp;row=2223&amp;col=7&amp;number=0.0129&amp;sourceID=14","0.0129")</f>
        <v>0.0129</v>
      </c>
    </row>
    <row r="2224" spans="1:7">
      <c r="A2224" s="3">
        <v>14</v>
      </c>
      <c r="B2224" s="3">
        <v>6</v>
      </c>
      <c r="C2224" s="3">
        <v>3</v>
      </c>
      <c r="D2224" s="3">
        <v>26</v>
      </c>
      <c r="E2224" s="3">
        <v>1</v>
      </c>
      <c r="F2224" s="4" t="str">
        <f>HYPERLINK("http://141.218.60.56/~jnz1568/getInfo.php?workbook=14_06.xlsx&amp;sheet=U0&amp;row=2224&amp;col=6&amp;number=3&amp;sourceID=14","3")</f>
        <v>3</v>
      </c>
      <c r="G2224" s="4" t="str">
        <f>HYPERLINK("http://141.218.60.56/~jnz1568/getInfo.php?workbook=14_06.xlsx&amp;sheet=U0&amp;row=2224&amp;col=7&amp;number=0.013&amp;sourceID=14","0.013")</f>
        <v>0.013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HYPERLINK("http://141.218.60.56/~jnz1568/getInfo.php?workbook=14_06.xlsx&amp;sheet=U0&amp;row=2225&amp;col=6&amp;number=3.1&amp;sourceID=14","3.1")</f>
        <v>3.1</v>
      </c>
      <c r="G2225" s="4" t="str">
        <f>HYPERLINK("http://141.218.60.56/~jnz1568/getInfo.php?workbook=14_06.xlsx&amp;sheet=U0&amp;row=2225&amp;col=7&amp;number=0.013&amp;sourceID=14","0.013")</f>
        <v>0.013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HYPERLINK("http://141.218.60.56/~jnz1568/getInfo.php?workbook=14_06.xlsx&amp;sheet=U0&amp;row=2226&amp;col=6&amp;number=3.2&amp;sourceID=14","3.2")</f>
        <v>3.2</v>
      </c>
      <c r="G2226" s="4" t="str">
        <f>HYPERLINK("http://141.218.60.56/~jnz1568/getInfo.php?workbook=14_06.xlsx&amp;sheet=U0&amp;row=2226&amp;col=7&amp;number=0.013&amp;sourceID=14","0.013")</f>
        <v>0.013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HYPERLINK("http://141.218.60.56/~jnz1568/getInfo.php?workbook=14_06.xlsx&amp;sheet=U0&amp;row=2227&amp;col=6&amp;number=3.3&amp;sourceID=14","3.3")</f>
        <v>3.3</v>
      </c>
      <c r="G2227" s="4" t="str">
        <f>HYPERLINK("http://141.218.60.56/~jnz1568/getInfo.php?workbook=14_06.xlsx&amp;sheet=U0&amp;row=2227&amp;col=7&amp;number=0.013&amp;sourceID=14","0.013")</f>
        <v>0.013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HYPERLINK("http://141.218.60.56/~jnz1568/getInfo.php?workbook=14_06.xlsx&amp;sheet=U0&amp;row=2228&amp;col=6&amp;number=3.4&amp;sourceID=14","3.4")</f>
        <v>3.4</v>
      </c>
      <c r="G2228" s="4" t="str">
        <f>HYPERLINK("http://141.218.60.56/~jnz1568/getInfo.php?workbook=14_06.xlsx&amp;sheet=U0&amp;row=2228&amp;col=7&amp;number=0.0129&amp;sourceID=14","0.0129")</f>
        <v>0.0129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HYPERLINK("http://141.218.60.56/~jnz1568/getInfo.php?workbook=14_06.xlsx&amp;sheet=U0&amp;row=2229&amp;col=6&amp;number=3.5&amp;sourceID=14","3.5")</f>
        <v>3.5</v>
      </c>
      <c r="G2229" s="4" t="str">
        <f>HYPERLINK("http://141.218.60.56/~jnz1568/getInfo.php?workbook=14_06.xlsx&amp;sheet=U0&amp;row=2229&amp;col=7&amp;number=0.0129&amp;sourceID=14","0.0129")</f>
        <v>0.0129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HYPERLINK("http://141.218.60.56/~jnz1568/getInfo.php?workbook=14_06.xlsx&amp;sheet=U0&amp;row=2230&amp;col=6&amp;number=3.6&amp;sourceID=14","3.6")</f>
        <v>3.6</v>
      </c>
      <c r="G2230" s="4" t="str">
        <f>HYPERLINK("http://141.218.60.56/~jnz1568/getInfo.php?workbook=14_06.xlsx&amp;sheet=U0&amp;row=2230&amp;col=7&amp;number=0.0129&amp;sourceID=14","0.0129")</f>
        <v>0.0129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HYPERLINK("http://141.218.60.56/~jnz1568/getInfo.php?workbook=14_06.xlsx&amp;sheet=U0&amp;row=2231&amp;col=6&amp;number=3.7&amp;sourceID=14","3.7")</f>
        <v>3.7</v>
      </c>
      <c r="G2231" s="4" t="str">
        <f>HYPERLINK("http://141.218.60.56/~jnz1568/getInfo.php?workbook=14_06.xlsx&amp;sheet=U0&amp;row=2231&amp;col=7&amp;number=0.0129&amp;sourceID=14","0.0129")</f>
        <v>0.0129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HYPERLINK("http://141.218.60.56/~jnz1568/getInfo.php?workbook=14_06.xlsx&amp;sheet=U0&amp;row=2232&amp;col=6&amp;number=3.8&amp;sourceID=14","3.8")</f>
        <v>3.8</v>
      </c>
      <c r="G2232" s="4" t="str">
        <f>HYPERLINK("http://141.218.60.56/~jnz1568/getInfo.php?workbook=14_06.xlsx&amp;sheet=U0&amp;row=2232&amp;col=7&amp;number=0.0129&amp;sourceID=14","0.0129")</f>
        <v>0.0129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HYPERLINK("http://141.218.60.56/~jnz1568/getInfo.php?workbook=14_06.xlsx&amp;sheet=U0&amp;row=2233&amp;col=6&amp;number=3.9&amp;sourceID=14","3.9")</f>
        <v>3.9</v>
      </c>
      <c r="G2233" s="4" t="str">
        <f>HYPERLINK("http://141.218.60.56/~jnz1568/getInfo.php?workbook=14_06.xlsx&amp;sheet=U0&amp;row=2233&amp;col=7&amp;number=0.0129&amp;sourceID=14","0.0129")</f>
        <v>0.0129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HYPERLINK("http://141.218.60.56/~jnz1568/getInfo.php?workbook=14_06.xlsx&amp;sheet=U0&amp;row=2234&amp;col=6&amp;number=4&amp;sourceID=14","4")</f>
        <v>4</v>
      </c>
      <c r="G2234" s="4" t="str">
        <f>HYPERLINK("http://141.218.60.56/~jnz1568/getInfo.php?workbook=14_06.xlsx&amp;sheet=U0&amp;row=2234&amp;col=7&amp;number=0.0129&amp;sourceID=14","0.0129")</f>
        <v>0.0129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HYPERLINK("http://141.218.60.56/~jnz1568/getInfo.php?workbook=14_06.xlsx&amp;sheet=U0&amp;row=2235&amp;col=6&amp;number=4.1&amp;sourceID=14","4.1")</f>
        <v>4.1</v>
      </c>
      <c r="G2235" s="4" t="str">
        <f>HYPERLINK("http://141.218.60.56/~jnz1568/getInfo.php?workbook=14_06.xlsx&amp;sheet=U0&amp;row=2235&amp;col=7&amp;number=0.0129&amp;sourceID=14","0.0129")</f>
        <v>0.0129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HYPERLINK("http://141.218.60.56/~jnz1568/getInfo.php?workbook=14_06.xlsx&amp;sheet=U0&amp;row=2236&amp;col=6&amp;number=4.2&amp;sourceID=14","4.2")</f>
        <v>4.2</v>
      </c>
      <c r="G2236" s="4" t="str">
        <f>HYPERLINK("http://141.218.60.56/~jnz1568/getInfo.php?workbook=14_06.xlsx&amp;sheet=U0&amp;row=2236&amp;col=7&amp;number=0.0129&amp;sourceID=14","0.0129")</f>
        <v>0.0129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HYPERLINK("http://141.218.60.56/~jnz1568/getInfo.php?workbook=14_06.xlsx&amp;sheet=U0&amp;row=2237&amp;col=6&amp;number=4.3&amp;sourceID=14","4.3")</f>
        <v>4.3</v>
      </c>
      <c r="G2237" s="4" t="str">
        <f>HYPERLINK("http://141.218.60.56/~jnz1568/getInfo.php?workbook=14_06.xlsx&amp;sheet=U0&amp;row=2237&amp;col=7&amp;number=0.0129&amp;sourceID=14","0.0129")</f>
        <v>0.0129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HYPERLINK("http://141.218.60.56/~jnz1568/getInfo.php?workbook=14_06.xlsx&amp;sheet=U0&amp;row=2238&amp;col=6&amp;number=4.4&amp;sourceID=14","4.4")</f>
        <v>4.4</v>
      </c>
      <c r="G2238" s="4" t="str">
        <f>HYPERLINK("http://141.218.60.56/~jnz1568/getInfo.php?workbook=14_06.xlsx&amp;sheet=U0&amp;row=2238&amp;col=7&amp;number=0.0129&amp;sourceID=14","0.0129")</f>
        <v>0.0129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HYPERLINK("http://141.218.60.56/~jnz1568/getInfo.php?workbook=14_06.xlsx&amp;sheet=U0&amp;row=2239&amp;col=6&amp;number=4.5&amp;sourceID=14","4.5")</f>
        <v>4.5</v>
      </c>
      <c r="G2239" s="4" t="str">
        <f>HYPERLINK("http://141.218.60.56/~jnz1568/getInfo.php?workbook=14_06.xlsx&amp;sheet=U0&amp;row=2239&amp;col=7&amp;number=0.0128&amp;sourceID=14","0.0128")</f>
        <v>0.0128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HYPERLINK("http://141.218.60.56/~jnz1568/getInfo.php?workbook=14_06.xlsx&amp;sheet=U0&amp;row=2240&amp;col=6&amp;number=4.6&amp;sourceID=14","4.6")</f>
        <v>4.6</v>
      </c>
      <c r="G2240" s="4" t="str">
        <f>HYPERLINK("http://141.218.60.56/~jnz1568/getInfo.php?workbook=14_06.xlsx&amp;sheet=U0&amp;row=2240&amp;col=7&amp;number=0.0128&amp;sourceID=14","0.0128")</f>
        <v>0.0128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HYPERLINK("http://141.218.60.56/~jnz1568/getInfo.php?workbook=14_06.xlsx&amp;sheet=U0&amp;row=2241&amp;col=6&amp;number=4.7&amp;sourceID=14","4.7")</f>
        <v>4.7</v>
      </c>
      <c r="G2241" s="4" t="str">
        <f>HYPERLINK("http://141.218.60.56/~jnz1568/getInfo.php?workbook=14_06.xlsx&amp;sheet=U0&amp;row=2241&amp;col=7&amp;number=0.0128&amp;sourceID=14","0.0128")</f>
        <v>0.0128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HYPERLINK("http://141.218.60.56/~jnz1568/getInfo.php?workbook=14_06.xlsx&amp;sheet=U0&amp;row=2242&amp;col=6&amp;number=4.8&amp;sourceID=14","4.8")</f>
        <v>4.8</v>
      </c>
      <c r="G2242" s="4" t="str">
        <f>HYPERLINK("http://141.218.60.56/~jnz1568/getInfo.php?workbook=14_06.xlsx&amp;sheet=U0&amp;row=2242&amp;col=7&amp;number=0.0127&amp;sourceID=14","0.0127")</f>
        <v>0.0127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HYPERLINK("http://141.218.60.56/~jnz1568/getInfo.php?workbook=14_06.xlsx&amp;sheet=U0&amp;row=2243&amp;col=6&amp;number=4.9&amp;sourceID=14","4.9")</f>
        <v>4.9</v>
      </c>
      <c r="G2243" s="4" t="str">
        <f>HYPERLINK("http://141.218.60.56/~jnz1568/getInfo.php?workbook=14_06.xlsx&amp;sheet=U0&amp;row=2243&amp;col=7&amp;number=0.0126&amp;sourceID=14","0.0126")</f>
        <v>0.0126</v>
      </c>
    </row>
    <row r="2244" spans="1:7">
      <c r="A2244" s="3">
        <v>14</v>
      </c>
      <c r="B2244" s="3">
        <v>6</v>
      </c>
      <c r="C2244" s="3">
        <v>3</v>
      </c>
      <c r="D2244" s="3">
        <v>27</v>
      </c>
      <c r="E2244" s="3">
        <v>1</v>
      </c>
      <c r="F2244" s="4" t="str">
        <f>HYPERLINK("http://141.218.60.56/~jnz1568/getInfo.php?workbook=14_06.xlsx&amp;sheet=U0&amp;row=2244&amp;col=6&amp;number=3&amp;sourceID=14","3")</f>
        <v>3</v>
      </c>
      <c r="G2244" s="4" t="str">
        <f>HYPERLINK("http://141.218.60.56/~jnz1568/getInfo.php?workbook=14_06.xlsx&amp;sheet=U0&amp;row=2244&amp;col=7&amp;number=0.0191&amp;sourceID=14","0.0191")</f>
        <v>0.0191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HYPERLINK("http://141.218.60.56/~jnz1568/getInfo.php?workbook=14_06.xlsx&amp;sheet=U0&amp;row=2245&amp;col=6&amp;number=3.1&amp;sourceID=14","3.1")</f>
        <v>3.1</v>
      </c>
      <c r="G2245" s="4" t="str">
        <f>HYPERLINK("http://141.218.60.56/~jnz1568/getInfo.php?workbook=14_06.xlsx&amp;sheet=U0&amp;row=2245&amp;col=7&amp;number=0.0191&amp;sourceID=14","0.0191")</f>
        <v>0.0191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HYPERLINK("http://141.218.60.56/~jnz1568/getInfo.php?workbook=14_06.xlsx&amp;sheet=U0&amp;row=2246&amp;col=6&amp;number=3.2&amp;sourceID=14","3.2")</f>
        <v>3.2</v>
      </c>
      <c r="G2246" s="4" t="str">
        <f>HYPERLINK("http://141.218.60.56/~jnz1568/getInfo.php?workbook=14_06.xlsx&amp;sheet=U0&amp;row=2246&amp;col=7&amp;number=0.0191&amp;sourceID=14","0.0191")</f>
        <v>0.0191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HYPERLINK("http://141.218.60.56/~jnz1568/getInfo.php?workbook=14_06.xlsx&amp;sheet=U0&amp;row=2247&amp;col=6&amp;number=3.3&amp;sourceID=14","3.3")</f>
        <v>3.3</v>
      </c>
      <c r="G2247" s="4" t="str">
        <f>HYPERLINK("http://141.218.60.56/~jnz1568/getInfo.php?workbook=14_06.xlsx&amp;sheet=U0&amp;row=2247&amp;col=7&amp;number=0.0191&amp;sourceID=14","0.0191")</f>
        <v>0.0191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HYPERLINK("http://141.218.60.56/~jnz1568/getInfo.php?workbook=14_06.xlsx&amp;sheet=U0&amp;row=2248&amp;col=6&amp;number=3.4&amp;sourceID=14","3.4")</f>
        <v>3.4</v>
      </c>
      <c r="G2248" s="4" t="str">
        <f>HYPERLINK("http://141.218.60.56/~jnz1568/getInfo.php?workbook=14_06.xlsx&amp;sheet=U0&amp;row=2248&amp;col=7&amp;number=0.0191&amp;sourceID=14","0.0191")</f>
        <v>0.0191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HYPERLINK("http://141.218.60.56/~jnz1568/getInfo.php?workbook=14_06.xlsx&amp;sheet=U0&amp;row=2249&amp;col=6&amp;number=3.5&amp;sourceID=14","3.5")</f>
        <v>3.5</v>
      </c>
      <c r="G2249" s="4" t="str">
        <f>HYPERLINK("http://141.218.60.56/~jnz1568/getInfo.php?workbook=14_06.xlsx&amp;sheet=U0&amp;row=2249&amp;col=7&amp;number=0.0191&amp;sourceID=14","0.0191")</f>
        <v>0.0191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HYPERLINK("http://141.218.60.56/~jnz1568/getInfo.php?workbook=14_06.xlsx&amp;sheet=U0&amp;row=2250&amp;col=6&amp;number=3.6&amp;sourceID=14","3.6")</f>
        <v>3.6</v>
      </c>
      <c r="G2250" s="4" t="str">
        <f>HYPERLINK("http://141.218.60.56/~jnz1568/getInfo.php?workbook=14_06.xlsx&amp;sheet=U0&amp;row=2250&amp;col=7&amp;number=0.0191&amp;sourceID=14","0.0191")</f>
        <v>0.0191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HYPERLINK("http://141.218.60.56/~jnz1568/getInfo.php?workbook=14_06.xlsx&amp;sheet=U0&amp;row=2251&amp;col=6&amp;number=3.7&amp;sourceID=14","3.7")</f>
        <v>3.7</v>
      </c>
      <c r="G2251" s="4" t="str">
        <f>HYPERLINK("http://141.218.60.56/~jnz1568/getInfo.php?workbook=14_06.xlsx&amp;sheet=U0&amp;row=2251&amp;col=7&amp;number=0.0191&amp;sourceID=14","0.0191")</f>
        <v>0.0191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HYPERLINK("http://141.218.60.56/~jnz1568/getInfo.php?workbook=14_06.xlsx&amp;sheet=U0&amp;row=2252&amp;col=6&amp;number=3.8&amp;sourceID=14","3.8")</f>
        <v>3.8</v>
      </c>
      <c r="G2252" s="4" t="str">
        <f>HYPERLINK("http://141.218.60.56/~jnz1568/getInfo.php?workbook=14_06.xlsx&amp;sheet=U0&amp;row=2252&amp;col=7&amp;number=0.0191&amp;sourceID=14","0.0191")</f>
        <v>0.0191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HYPERLINK("http://141.218.60.56/~jnz1568/getInfo.php?workbook=14_06.xlsx&amp;sheet=U0&amp;row=2253&amp;col=6&amp;number=3.9&amp;sourceID=14","3.9")</f>
        <v>3.9</v>
      </c>
      <c r="G2253" s="4" t="str">
        <f>HYPERLINK("http://141.218.60.56/~jnz1568/getInfo.php?workbook=14_06.xlsx&amp;sheet=U0&amp;row=2253&amp;col=7&amp;number=0.0191&amp;sourceID=14","0.0191")</f>
        <v>0.0191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HYPERLINK("http://141.218.60.56/~jnz1568/getInfo.php?workbook=14_06.xlsx&amp;sheet=U0&amp;row=2254&amp;col=6&amp;number=4&amp;sourceID=14","4")</f>
        <v>4</v>
      </c>
      <c r="G2254" s="4" t="str">
        <f>HYPERLINK("http://141.218.60.56/~jnz1568/getInfo.php?workbook=14_06.xlsx&amp;sheet=U0&amp;row=2254&amp;col=7&amp;number=0.0191&amp;sourceID=14","0.0191")</f>
        <v>0.0191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HYPERLINK("http://141.218.60.56/~jnz1568/getInfo.php?workbook=14_06.xlsx&amp;sheet=U0&amp;row=2255&amp;col=6&amp;number=4.1&amp;sourceID=14","4.1")</f>
        <v>4.1</v>
      </c>
      <c r="G2255" s="4" t="str">
        <f>HYPERLINK("http://141.218.60.56/~jnz1568/getInfo.php?workbook=14_06.xlsx&amp;sheet=U0&amp;row=2255&amp;col=7&amp;number=0.0191&amp;sourceID=14","0.0191")</f>
        <v>0.0191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HYPERLINK("http://141.218.60.56/~jnz1568/getInfo.php?workbook=14_06.xlsx&amp;sheet=U0&amp;row=2256&amp;col=6&amp;number=4.2&amp;sourceID=14","4.2")</f>
        <v>4.2</v>
      </c>
      <c r="G2256" s="4" t="str">
        <f>HYPERLINK("http://141.218.60.56/~jnz1568/getInfo.php?workbook=14_06.xlsx&amp;sheet=U0&amp;row=2256&amp;col=7&amp;number=0.0191&amp;sourceID=14","0.0191")</f>
        <v>0.0191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HYPERLINK("http://141.218.60.56/~jnz1568/getInfo.php?workbook=14_06.xlsx&amp;sheet=U0&amp;row=2257&amp;col=6&amp;number=4.3&amp;sourceID=14","4.3")</f>
        <v>4.3</v>
      </c>
      <c r="G2257" s="4" t="str">
        <f>HYPERLINK("http://141.218.60.56/~jnz1568/getInfo.php?workbook=14_06.xlsx&amp;sheet=U0&amp;row=2257&amp;col=7&amp;number=0.0191&amp;sourceID=14","0.0191")</f>
        <v>0.0191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HYPERLINK("http://141.218.60.56/~jnz1568/getInfo.php?workbook=14_06.xlsx&amp;sheet=U0&amp;row=2258&amp;col=6&amp;number=4.4&amp;sourceID=14","4.4")</f>
        <v>4.4</v>
      </c>
      <c r="G2258" s="4" t="str">
        <f>HYPERLINK("http://141.218.60.56/~jnz1568/getInfo.php?workbook=14_06.xlsx&amp;sheet=U0&amp;row=2258&amp;col=7&amp;number=0.0191&amp;sourceID=14","0.0191")</f>
        <v>0.0191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HYPERLINK("http://141.218.60.56/~jnz1568/getInfo.php?workbook=14_06.xlsx&amp;sheet=U0&amp;row=2259&amp;col=6&amp;number=4.5&amp;sourceID=14","4.5")</f>
        <v>4.5</v>
      </c>
      <c r="G2259" s="4" t="str">
        <f>HYPERLINK("http://141.218.60.56/~jnz1568/getInfo.php?workbook=14_06.xlsx&amp;sheet=U0&amp;row=2259&amp;col=7&amp;number=0.019&amp;sourceID=14","0.019")</f>
        <v>0.019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HYPERLINK("http://141.218.60.56/~jnz1568/getInfo.php?workbook=14_06.xlsx&amp;sheet=U0&amp;row=2260&amp;col=6&amp;number=4.6&amp;sourceID=14","4.6")</f>
        <v>4.6</v>
      </c>
      <c r="G2260" s="4" t="str">
        <f>HYPERLINK("http://141.218.60.56/~jnz1568/getInfo.php?workbook=14_06.xlsx&amp;sheet=U0&amp;row=2260&amp;col=7&amp;number=0.019&amp;sourceID=14","0.019")</f>
        <v>0.019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HYPERLINK("http://141.218.60.56/~jnz1568/getInfo.php?workbook=14_06.xlsx&amp;sheet=U0&amp;row=2261&amp;col=6&amp;number=4.7&amp;sourceID=14","4.7")</f>
        <v>4.7</v>
      </c>
      <c r="G2261" s="4" t="str">
        <f>HYPERLINK("http://141.218.60.56/~jnz1568/getInfo.php?workbook=14_06.xlsx&amp;sheet=U0&amp;row=2261&amp;col=7&amp;number=0.019&amp;sourceID=14","0.019")</f>
        <v>0.019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HYPERLINK("http://141.218.60.56/~jnz1568/getInfo.php?workbook=14_06.xlsx&amp;sheet=U0&amp;row=2262&amp;col=6&amp;number=4.8&amp;sourceID=14","4.8")</f>
        <v>4.8</v>
      </c>
      <c r="G2262" s="4" t="str">
        <f>HYPERLINK("http://141.218.60.56/~jnz1568/getInfo.php?workbook=14_06.xlsx&amp;sheet=U0&amp;row=2262&amp;col=7&amp;number=0.019&amp;sourceID=14","0.019")</f>
        <v>0.019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HYPERLINK("http://141.218.60.56/~jnz1568/getInfo.php?workbook=14_06.xlsx&amp;sheet=U0&amp;row=2263&amp;col=6&amp;number=4.9&amp;sourceID=14","4.9")</f>
        <v>4.9</v>
      </c>
      <c r="G2263" s="4" t="str">
        <f>HYPERLINK("http://141.218.60.56/~jnz1568/getInfo.php?workbook=14_06.xlsx&amp;sheet=U0&amp;row=2263&amp;col=7&amp;number=0.0189&amp;sourceID=14","0.0189")</f>
        <v>0.0189</v>
      </c>
    </row>
    <row r="2264" spans="1:7">
      <c r="A2264" s="3">
        <v>14</v>
      </c>
      <c r="B2264" s="3">
        <v>6</v>
      </c>
      <c r="C2264" s="3">
        <v>3</v>
      </c>
      <c r="D2264" s="3">
        <v>28</v>
      </c>
      <c r="E2264" s="3">
        <v>1</v>
      </c>
      <c r="F2264" s="4" t="str">
        <f>HYPERLINK("http://141.218.60.56/~jnz1568/getInfo.php?workbook=14_06.xlsx&amp;sheet=U0&amp;row=2264&amp;col=6&amp;number=3&amp;sourceID=14","3")</f>
        <v>3</v>
      </c>
      <c r="G2264" s="4" t="str">
        <f>HYPERLINK("http://141.218.60.56/~jnz1568/getInfo.php?workbook=14_06.xlsx&amp;sheet=U0&amp;row=2264&amp;col=7&amp;number=0.0351&amp;sourceID=14","0.0351")</f>
        <v>0.0351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HYPERLINK("http://141.218.60.56/~jnz1568/getInfo.php?workbook=14_06.xlsx&amp;sheet=U0&amp;row=2265&amp;col=6&amp;number=3.1&amp;sourceID=14","3.1")</f>
        <v>3.1</v>
      </c>
      <c r="G2265" s="4" t="str">
        <f>HYPERLINK("http://141.218.60.56/~jnz1568/getInfo.php?workbook=14_06.xlsx&amp;sheet=U0&amp;row=2265&amp;col=7&amp;number=0.0351&amp;sourceID=14","0.0351")</f>
        <v>0.0351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HYPERLINK("http://141.218.60.56/~jnz1568/getInfo.php?workbook=14_06.xlsx&amp;sheet=U0&amp;row=2266&amp;col=6&amp;number=3.2&amp;sourceID=14","3.2")</f>
        <v>3.2</v>
      </c>
      <c r="G2266" s="4" t="str">
        <f>HYPERLINK("http://141.218.60.56/~jnz1568/getInfo.php?workbook=14_06.xlsx&amp;sheet=U0&amp;row=2266&amp;col=7&amp;number=0.0351&amp;sourceID=14","0.0351")</f>
        <v>0.0351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HYPERLINK("http://141.218.60.56/~jnz1568/getInfo.php?workbook=14_06.xlsx&amp;sheet=U0&amp;row=2267&amp;col=6&amp;number=3.3&amp;sourceID=14","3.3")</f>
        <v>3.3</v>
      </c>
      <c r="G2267" s="4" t="str">
        <f>HYPERLINK("http://141.218.60.56/~jnz1568/getInfo.php?workbook=14_06.xlsx&amp;sheet=U0&amp;row=2267&amp;col=7&amp;number=0.0351&amp;sourceID=14","0.0351")</f>
        <v>0.0351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HYPERLINK("http://141.218.60.56/~jnz1568/getInfo.php?workbook=14_06.xlsx&amp;sheet=U0&amp;row=2268&amp;col=6&amp;number=3.4&amp;sourceID=14","3.4")</f>
        <v>3.4</v>
      </c>
      <c r="G2268" s="4" t="str">
        <f>HYPERLINK("http://141.218.60.56/~jnz1568/getInfo.php?workbook=14_06.xlsx&amp;sheet=U0&amp;row=2268&amp;col=7&amp;number=0.0351&amp;sourceID=14","0.0351")</f>
        <v>0.0351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HYPERLINK("http://141.218.60.56/~jnz1568/getInfo.php?workbook=14_06.xlsx&amp;sheet=U0&amp;row=2269&amp;col=6&amp;number=3.5&amp;sourceID=14","3.5")</f>
        <v>3.5</v>
      </c>
      <c r="G2269" s="4" t="str">
        <f>HYPERLINK("http://141.218.60.56/~jnz1568/getInfo.php?workbook=14_06.xlsx&amp;sheet=U0&amp;row=2269&amp;col=7&amp;number=0.0351&amp;sourceID=14","0.0351")</f>
        <v>0.0351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HYPERLINK("http://141.218.60.56/~jnz1568/getInfo.php?workbook=14_06.xlsx&amp;sheet=U0&amp;row=2270&amp;col=6&amp;number=3.6&amp;sourceID=14","3.6")</f>
        <v>3.6</v>
      </c>
      <c r="G2270" s="4" t="str">
        <f>HYPERLINK("http://141.218.60.56/~jnz1568/getInfo.php?workbook=14_06.xlsx&amp;sheet=U0&amp;row=2270&amp;col=7&amp;number=0.0351&amp;sourceID=14","0.0351")</f>
        <v>0.0351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HYPERLINK("http://141.218.60.56/~jnz1568/getInfo.php?workbook=14_06.xlsx&amp;sheet=U0&amp;row=2271&amp;col=6&amp;number=3.7&amp;sourceID=14","3.7")</f>
        <v>3.7</v>
      </c>
      <c r="G2271" s="4" t="str">
        <f>HYPERLINK("http://141.218.60.56/~jnz1568/getInfo.php?workbook=14_06.xlsx&amp;sheet=U0&amp;row=2271&amp;col=7&amp;number=0.0351&amp;sourceID=14","0.0351")</f>
        <v>0.0351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HYPERLINK("http://141.218.60.56/~jnz1568/getInfo.php?workbook=14_06.xlsx&amp;sheet=U0&amp;row=2272&amp;col=6&amp;number=3.8&amp;sourceID=14","3.8")</f>
        <v>3.8</v>
      </c>
      <c r="G2272" s="4" t="str">
        <f>HYPERLINK("http://141.218.60.56/~jnz1568/getInfo.php?workbook=14_06.xlsx&amp;sheet=U0&amp;row=2272&amp;col=7&amp;number=0.0351&amp;sourceID=14","0.0351")</f>
        <v>0.0351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HYPERLINK("http://141.218.60.56/~jnz1568/getInfo.php?workbook=14_06.xlsx&amp;sheet=U0&amp;row=2273&amp;col=6&amp;number=3.9&amp;sourceID=14","3.9")</f>
        <v>3.9</v>
      </c>
      <c r="G2273" s="4" t="str">
        <f>HYPERLINK("http://141.218.60.56/~jnz1568/getInfo.php?workbook=14_06.xlsx&amp;sheet=U0&amp;row=2273&amp;col=7&amp;number=0.0351&amp;sourceID=14","0.0351")</f>
        <v>0.0351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HYPERLINK("http://141.218.60.56/~jnz1568/getInfo.php?workbook=14_06.xlsx&amp;sheet=U0&amp;row=2274&amp;col=6&amp;number=4&amp;sourceID=14","4")</f>
        <v>4</v>
      </c>
      <c r="G2274" s="4" t="str">
        <f>HYPERLINK("http://141.218.60.56/~jnz1568/getInfo.php?workbook=14_06.xlsx&amp;sheet=U0&amp;row=2274&amp;col=7&amp;number=0.0351&amp;sourceID=14","0.0351")</f>
        <v>0.0351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HYPERLINK("http://141.218.60.56/~jnz1568/getInfo.php?workbook=14_06.xlsx&amp;sheet=U0&amp;row=2275&amp;col=6&amp;number=4.1&amp;sourceID=14","4.1")</f>
        <v>4.1</v>
      </c>
      <c r="G2275" s="4" t="str">
        <f>HYPERLINK("http://141.218.60.56/~jnz1568/getInfo.php?workbook=14_06.xlsx&amp;sheet=U0&amp;row=2275&amp;col=7&amp;number=0.0351&amp;sourceID=14","0.0351")</f>
        <v>0.0351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HYPERLINK("http://141.218.60.56/~jnz1568/getInfo.php?workbook=14_06.xlsx&amp;sheet=U0&amp;row=2276&amp;col=6&amp;number=4.2&amp;sourceID=14","4.2")</f>
        <v>4.2</v>
      </c>
      <c r="G2276" s="4" t="str">
        <f>HYPERLINK("http://141.218.60.56/~jnz1568/getInfo.php?workbook=14_06.xlsx&amp;sheet=U0&amp;row=2276&amp;col=7&amp;number=0.035&amp;sourceID=14","0.035")</f>
        <v>0.035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HYPERLINK("http://141.218.60.56/~jnz1568/getInfo.php?workbook=14_06.xlsx&amp;sheet=U0&amp;row=2277&amp;col=6&amp;number=4.3&amp;sourceID=14","4.3")</f>
        <v>4.3</v>
      </c>
      <c r="G2277" s="4" t="str">
        <f>HYPERLINK("http://141.218.60.56/~jnz1568/getInfo.php?workbook=14_06.xlsx&amp;sheet=U0&amp;row=2277&amp;col=7&amp;number=0.035&amp;sourceID=14","0.035")</f>
        <v>0.035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HYPERLINK("http://141.218.60.56/~jnz1568/getInfo.php?workbook=14_06.xlsx&amp;sheet=U0&amp;row=2278&amp;col=6&amp;number=4.4&amp;sourceID=14","4.4")</f>
        <v>4.4</v>
      </c>
      <c r="G2278" s="4" t="str">
        <f>HYPERLINK("http://141.218.60.56/~jnz1568/getInfo.php?workbook=14_06.xlsx&amp;sheet=U0&amp;row=2278&amp;col=7&amp;number=0.035&amp;sourceID=14","0.035")</f>
        <v>0.035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HYPERLINK("http://141.218.60.56/~jnz1568/getInfo.php?workbook=14_06.xlsx&amp;sheet=U0&amp;row=2279&amp;col=6&amp;number=4.5&amp;sourceID=14","4.5")</f>
        <v>4.5</v>
      </c>
      <c r="G2279" s="4" t="str">
        <f>HYPERLINK("http://141.218.60.56/~jnz1568/getInfo.php?workbook=14_06.xlsx&amp;sheet=U0&amp;row=2279&amp;col=7&amp;number=0.0349&amp;sourceID=14","0.0349")</f>
        <v>0.0349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HYPERLINK("http://141.218.60.56/~jnz1568/getInfo.php?workbook=14_06.xlsx&amp;sheet=U0&amp;row=2280&amp;col=6&amp;number=4.6&amp;sourceID=14","4.6")</f>
        <v>4.6</v>
      </c>
      <c r="G2280" s="4" t="str">
        <f>HYPERLINK("http://141.218.60.56/~jnz1568/getInfo.php?workbook=14_06.xlsx&amp;sheet=U0&amp;row=2280&amp;col=7&amp;number=0.0349&amp;sourceID=14","0.0349")</f>
        <v>0.0349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HYPERLINK("http://141.218.60.56/~jnz1568/getInfo.php?workbook=14_06.xlsx&amp;sheet=U0&amp;row=2281&amp;col=6&amp;number=4.7&amp;sourceID=14","4.7")</f>
        <v>4.7</v>
      </c>
      <c r="G2281" s="4" t="str">
        <f>HYPERLINK("http://141.218.60.56/~jnz1568/getInfo.php?workbook=14_06.xlsx&amp;sheet=U0&amp;row=2281&amp;col=7&amp;number=0.0348&amp;sourceID=14","0.0348")</f>
        <v>0.0348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HYPERLINK("http://141.218.60.56/~jnz1568/getInfo.php?workbook=14_06.xlsx&amp;sheet=U0&amp;row=2282&amp;col=6&amp;number=4.8&amp;sourceID=14","4.8")</f>
        <v>4.8</v>
      </c>
      <c r="G2282" s="4" t="str">
        <f>HYPERLINK("http://141.218.60.56/~jnz1568/getInfo.php?workbook=14_06.xlsx&amp;sheet=U0&amp;row=2282&amp;col=7&amp;number=0.0348&amp;sourceID=14","0.0348")</f>
        <v>0.0348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HYPERLINK("http://141.218.60.56/~jnz1568/getInfo.php?workbook=14_06.xlsx&amp;sheet=U0&amp;row=2283&amp;col=6&amp;number=4.9&amp;sourceID=14","4.9")</f>
        <v>4.9</v>
      </c>
      <c r="G2283" s="4" t="str">
        <f>HYPERLINK("http://141.218.60.56/~jnz1568/getInfo.php?workbook=14_06.xlsx&amp;sheet=U0&amp;row=2283&amp;col=7&amp;number=0.0347&amp;sourceID=14","0.0347")</f>
        <v>0.0347</v>
      </c>
    </row>
    <row r="2284" spans="1:7">
      <c r="A2284" s="3">
        <v>14</v>
      </c>
      <c r="B2284" s="3">
        <v>6</v>
      </c>
      <c r="C2284" s="3">
        <v>3</v>
      </c>
      <c r="D2284" s="3">
        <v>29</v>
      </c>
      <c r="E2284" s="3">
        <v>1</v>
      </c>
      <c r="F2284" s="4" t="str">
        <f>HYPERLINK("http://141.218.60.56/~jnz1568/getInfo.php?workbook=14_06.xlsx&amp;sheet=U0&amp;row=2284&amp;col=6&amp;number=3&amp;sourceID=14","3")</f>
        <v>3</v>
      </c>
      <c r="G2284" s="4" t="str">
        <f>HYPERLINK("http://141.218.60.56/~jnz1568/getInfo.php?workbook=14_06.xlsx&amp;sheet=U0&amp;row=2284&amp;col=7&amp;number=0.00926&amp;sourceID=14","0.00926")</f>
        <v>0.00926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HYPERLINK("http://141.218.60.56/~jnz1568/getInfo.php?workbook=14_06.xlsx&amp;sheet=U0&amp;row=2285&amp;col=6&amp;number=3.1&amp;sourceID=14","3.1")</f>
        <v>3.1</v>
      </c>
      <c r="G2285" s="4" t="str">
        <f>HYPERLINK("http://141.218.60.56/~jnz1568/getInfo.php?workbook=14_06.xlsx&amp;sheet=U0&amp;row=2285&amp;col=7&amp;number=0.00926&amp;sourceID=14","0.00926")</f>
        <v>0.00926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HYPERLINK("http://141.218.60.56/~jnz1568/getInfo.php?workbook=14_06.xlsx&amp;sheet=U0&amp;row=2286&amp;col=6&amp;number=3.2&amp;sourceID=14","3.2")</f>
        <v>3.2</v>
      </c>
      <c r="G2286" s="4" t="str">
        <f>HYPERLINK("http://141.218.60.56/~jnz1568/getInfo.php?workbook=14_06.xlsx&amp;sheet=U0&amp;row=2286&amp;col=7&amp;number=0.00926&amp;sourceID=14","0.00926")</f>
        <v>0.00926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HYPERLINK("http://141.218.60.56/~jnz1568/getInfo.php?workbook=14_06.xlsx&amp;sheet=U0&amp;row=2287&amp;col=6&amp;number=3.3&amp;sourceID=14","3.3")</f>
        <v>3.3</v>
      </c>
      <c r="G2287" s="4" t="str">
        <f>HYPERLINK("http://141.218.60.56/~jnz1568/getInfo.php?workbook=14_06.xlsx&amp;sheet=U0&amp;row=2287&amp;col=7&amp;number=0.00926&amp;sourceID=14","0.00926")</f>
        <v>0.00926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HYPERLINK("http://141.218.60.56/~jnz1568/getInfo.php?workbook=14_06.xlsx&amp;sheet=U0&amp;row=2288&amp;col=6&amp;number=3.4&amp;sourceID=14","3.4")</f>
        <v>3.4</v>
      </c>
      <c r="G2288" s="4" t="str">
        <f>HYPERLINK("http://141.218.60.56/~jnz1568/getInfo.php?workbook=14_06.xlsx&amp;sheet=U0&amp;row=2288&amp;col=7&amp;number=0.00926&amp;sourceID=14","0.00926")</f>
        <v>0.00926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HYPERLINK("http://141.218.60.56/~jnz1568/getInfo.php?workbook=14_06.xlsx&amp;sheet=U0&amp;row=2289&amp;col=6&amp;number=3.5&amp;sourceID=14","3.5")</f>
        <v>3.5</v>
      </c>
      <c r="G2289" s="4" t="str">
        <f>HYPERLINK("http://141.218.60.56/~jnz1568/getInfo.php?workbook=14_06.xlsx&amp;sheet=U0&amp;row=2289&amp;col=7&amp;number=0.00926&amp;sourceID=14","0.00926")</f>
        <v>0.00926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HYPERLINK("http://141.218.60.56/~jnz1568/getInfo.php?workbook=14_06.xlsx&amp;sheet=U0&amp;row=2290&amp;col=6&amp;number=3.6&amp;sourceID=14","3.6")</f>
        <v>3.6</v>
      </c>
      <c r="G2290" s="4" t="str">
        <f>HYPERLINK("http://141.218.60.56/~jnz1568/getInfo.php?workbook=14_06.xlsx&amp;sheet=U0&amp;row=2290&amp;col=7&amp;number=0.00925&amp;sourceID=14","0.00925")</f>
        <v>0.00925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HYPERLINK("http://141.218.60.56/~jnz1568/getInfo.php?workbook=14_06.xlsx&amp;sheet=U0&amp;row=2291&amp;col=6&amp;number=3.7&amp;sourceID=14","3.7")</f>
        <v>3.7</v>
      </c>
      <c r="G2291" s="4" t="str">
        <f>HYPERLINK("http://141.218.60.56/~jnz1568/getInfo.php?workbook=14_06.xlsx&amp;sheet=U0&amp;row=2291&amp;col=7&amp;number=0.00925&amp;sourceID=14","0.00925")</f>
        <v>0.00925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HYPERLINK("http://141.218.60.56/~jnz1568/getInfo.php?workbook=14_06.xlsx&amp;sheet=U0&amp;row=2292&amp;col=6&amp;number=3.8&amp;sourceID=14","3.8")</f>
        <v>3.8</v>
      </c>
      <c r="G2292" s="4" t="str">
        <f>HYPERLINK("http://141.218.60.56/~jnz1568/getInfo.php?workbook=14_06.xlsx&amp;sheet=U0&amp;row=2292&amp;col=7&amp;number=0.00925&amp;sourceID=14","0.00925")</f>
        <v>0.00925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HYPERLINK("http://141.218.60.56/~jnz1568/getInfo.php?workbook=14_06.xlsx&amp;sheet=U0&amp;row=2293&amp;col=6&amp;number=3.9&amp;sourceID=14","3.9")</f>
        <v>3.9</v>
      </c>
      <c r="G2293" s="4" t="str">
        <f>HYPERLINK("http://141.218.60.56/~jnz1568/getInfo.php?workbook=14_06.xlsx&amp;sheet=U0&amp;row=2293&amp;col=7&amp;number=0.00924&amp;sourceID=14","0.00924")</f>
        <v>0.00924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HYPERLINK("http://141.218.60.56/~jnz1568/getInfo.php?workbook=14_06.xlsx&amp;sheet=U0&amp;row=2294&amp;col=6&amp;number=4&amp;sourceID=14","4")</f>
        <v>4</v>
      </c>
      <c r="G2294" s="4" t="str">
        <f>HYPERLINK("http://141.218.60.56/~jnz1568/getInfo.php?workbook=14_06.xlsx&amp;sheet=U0&amp;row=2294&amp;col=7&amp;number=0.00923&amp;sourceID=14","0.00923")</f>
        <v>0.00923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HYPERLINK("http://141.218.60.56/~jnz1568/getInfo.php?workbook=14_06.xlsx&amp;sheet=U0&amp;row=2295&amp;col=6&amp;number=4.1&amp;sourceID=14","4.1")</f>
        <v>4.1</v>
      </c>
      <c r="G2295" s="4" t="str">
        <f>HYPERLINK("http://141.218.60.56/~jnz1568/getInfo.php?workbook=14_06.xlsx&amp;sheet=U0&amp;row=2295&amp;col=7&amp;number=0.00923&amp;sourceID=14","0.00923")</f>
        <v>0.00923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HYPERLINK("http://141.218.60.56/~jnz1568/getInfo.php?workbook=14_06.xlsx&amp;sheet=U0&amp;row=2296&amp;col=6&amp;number=4.2&amp;sourceID=14","4.2")</f>
        <v>4.2</v>
      </c>
      <c r="G2296" s="4" t="str">
        <f>HYPERLINK("http://141.218.60.56/~jnz1568/getInfo.php?workbook=14_06.xlsx&amp;sheet=U0&amp;row=2296&amp;col=7&amp;number=0.00921&amp;sourceID=14","0.00921")</f>
        <v>0.00921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HYPERLINK("http://141.218.60.56/~jnz1568/getInfo.php?workbook=14_06.xlsx&amp;sheet=U0&amp;row=2297&amp;col=6&amp;number=4.3&amp;sourceID=14","4.3")</f>
        <v>4.3</v>
      </c>
      <c r="G2297" s="4" t="str">
        <f>HYPERLINK("http://141.218.60.56/~jnz1568/getInfo.php?workbook=14_06.xlsx&amp;sheet=U0&amp;row=2297&amp;col=7&amp;number=0.0092&amp;sourceID=14","0.0092")</f>
        <v>0.0092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HYPERLINK("http://141.218.60.56/~jnz1568/getInfo.php?workbook=14_06.xlsx&amp;sheet=U0&amp;row=2298&amp;col=6&amp;number=4.4&amp;sourceID=14","4.4")</f>
        <v>4.4</v>
      </c>
      <c r="G2298" s="4" t="str">
        <f>HYPERLINK("http://141.218.60.56/~jnz1568/getInfo.php?workbook=14_06.xlsx&amp;sheet=U0&amp;row=2298&amp;col=7&amp;number=0.00918&amp;sourceID=14","0.00918")</f>
        <v>0.00918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HYPERLINK("http://141.218.60.56/~jnz1568/getInfo.php?workbook=14_06.xlsx&amp;sheet=U0&amp;row=2299&amp;col=6&amp;number=4.5&amp;sourceID=14","4.5")</f>
        <v>4.5</v>
      </c>
      <c r="G2299" s="4" t="str">
        <f>HYPERLINK("http://141.218.60.56/~jnz1568/getInfo.php?workbook=14_06.xlsx&amp;sheet=U0&amp;row=2299&amp;col=7&amp;number=0.00916&amp;sourceID=14","0.00916")</f>
        <v>0.00916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HYPERLINK("http://141.218.60.56/~jnz1568/getInfo.php?workbook=14_06.xlsx&amp;sheet=U0&amp;row=2300&amp;col=6&amp;number=4.6&amp;sourceID=14","4.6")</f>
        <v>4.6</v>
      </c>
      <c r="G2300" s="4" t="str">
        <f>HYPERLINK("http://141.218.60.56/~jnz1568/getInfo.php?workbook=14_06.xlsx&amp;sheet=U0&amp;row=2300&amp;col=7&amp;number=0.00914&amp;sourceID=14","0.00914")</f>
        <v>0.00914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HYPERLINK("http://141.218.60.56/~jnz1568/getInfo.php?workbook=14_06.xlsx&amp;sheet=U0&amp;row=2301&amp;col=6&amp;number=4.7&amp;sourceID=14","4.7")</f>
        <v>4.7</v>
      </c>
      <c r="G2301" s="4" t="str">
        <f>HYPERLINK("http://141.218.60.56/~jnz1568/getInfo.php?workbook=14_06.xlsx&amp;sheet=U0&amp;row=2301&amp;col=7&amp;number=0.0091&amp;sourceID=14","0.0091")</f>
        <v>0.0091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HYPERLINK("http://141.218.60.56/~jnz1568/getInfo.php?workbook=14_06.xlsx&amp;sheet=U0&amp;row=2302&amp;col=6&amp;number=4.8&amp;sourceID=14","4.8")</f>
        <v>4.8</v>
      </c>
      <c r="G2302" s="4" t="str">
        <f>HYPERLINK("http://141.218.60.56/~jnz1568/getInfo.php?workbook=14_06.xlsx&amp;sheet=U0&amp;row=2302&amp;col=7&amp;number=0.00906&amp;sourceID=14","0.00906")</f>
        <v>0.00906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HYPERLINK("http://141.218.60.56/~jnz1568/getInfo.php?workbook=14_06.xlsx&amp;sheet=U0&amp;row=2303&amp;col=6&amp;number=4.9&amp;sourceID=14","4.9")</f>
        <v>4.9</v>
      </c>
      <c r="G2303" s="4" t="str">
        <f>HYPERLINK("http://141.218.60.56/~jnz1568/getInfo.php?workbook=14_06.xlsx&amp;sheet=U0&amp;row=2303&amp;col=7&amp;number=0.00901&amp;sourceID=14","0.00901")</f>
        <v>0.00901</v>
      </c>
    </row>
    <row r="2304" spans="1:7">
      <c r="A2304" s="3">
        <v>14</v>
      </c>
      <c r="B2304" s="3">
        <v>6</v>
      </c>
      <c r="C2304" s="3">
        <v>3</v>
      </c>
      <c r="D2304" s="3">
        <v>30</v>
      </c>
      <c r="E2304" s="3">
        <v>1</v>
      </c>
      <c r="F2304" s="4" t="str">
        <f>HYPERLINK("http://141.218.60.56/~jnz1568/getInfo.php?workbook=14_06.xlsx&amp;sheet=U0&amp;row=2304&amp;col=6&amp;number=3&amp;sourceID=14","3")</f>
        <v>3</v>
      </c>
      <c r="G2304" s="4" t="str">
        <f>HYPERLINK("http://141.218.60.56/~jnz1568/getInfo.php?workbook=14_06.xlsx&amp;sheet=U0&amp;row=2304&amp;col=7&amp;number=0.00355&amp;sourceID=14","0.00355")</f>
        <v>0.00355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HYPERLINK("http://141.218.60.56/~jnz1568/getInfo.php?workbook=14_06.xlsx&amp;sheet=U0&amp;row=2305&amp;col=6&amp;number=3.1&amp;sourceID=14","3.1")</f>
        <v>3.1</v>
      </c>
      <c r="G2305" s="4" t="str">
        <f>HYPERLINK("http://141.218.60.56/~jnz1568/getInfo.php?workbook=14_06.xlsx&amp;sheet=U0&amp;row=2305&amp;col=7&amp;number=0.00355&amp;sourceID=14","0.00355")</f>
        <v>0.00355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HYPERLINK("http://141.218.60.56/~jnz1568/getInfo.php?workbook=14_06.xlsx&amp;sheet=U0&amp;row=2306&amp;col=6&amp;number=3.2&amp;sourceID=14","3.2")</f>
        <v>3.2</v>
      </c>
      <c r="G2306" s="4" t="str">
        <f>HYPERLINK("http://141.218.60.56/~jnz1568/getInfo.php?workbook=14_06.xlsx&amp;sheet=U0&amp;row=2306&amp;col=7&amp;number=0.00355&amp;sourceID=14","0.00355")</f>
        <v>0.00355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HYPERLINK("http://141.218.60.56/~jnz1568/getInfo.php?workbook=14_06.xlsx&amp;sheet=U0&amp;row=2307&amp;col=6&amp;number=3.3&amp;sourceID=14","3.3")</f>
        <v>3.3</v>
      </c>
      <c r="G2307" s="4" t="str">
        <f>HYPERLINK("http://141.218.60.56/~jnz1568/getInfo.php?workbook=14_06.xlsx&amp;sheet=U0&amp;row=2307&amp;col=7&amp;number=0.00355&amp;sourceID=14","0.00355")</f>
        <v>0.00355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HYPERLINK("http://141.218.60.56/~jnz1568/getInfo.php?workbook=14_06.xlsx&amp;sheet=U0&amp;row=2308&amp;col=6&amp;number=3.4&amp;sourceID=14","3.4")</f>
        <v>3.4</v>
      </c>
      <c r="G2308" s="4" t="str">
        <f>HYPERLINK("http://141.218.60.56/~jnz1568/getInfo.php?workbook=14_06.xlsx&amp;sheet=U0&amp;row=2308&amp;col=7&amp;number=0.00355&amp;sourceID=14","0.00355")</f>
        <v>0.00355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HYPERLINK("http://141.218.60.56/~jnz1568/getInfo.php?workbook=14_06.xlsx&amp;sheet=U0&amp;row=2309&amp;col=6&amp;number=3.5&amp;sourceID=14","3.5")</f>
        <v>3.5</v>
      </c>
      <c r="G2309" s="4" t="str">
        <f>HYPERLINK("http://141.218.60.56/~jnz1568/getInfo.php?workbook=14_06.xlsx&amp;sheet=U0&amp;row=2309&amp;col=7&amp;number=0.00355&amp;sourceID=14","0.00355")</f>
        <v>0.00355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HYPERLINK("http://141.218.60.56/~jnz1568/getInfo.php?workbook=14_06.xlsx&amp;sheet=U0&amp;row=2310&amp;col=6&amp;number=3.6&amp;sourceID=14","3.6")</f>
        <v>3.6</v>
      </c>
      <c r="G2310" s="4" t="str">
        <f>HYPERLINK("http://141.218.60.56/~jnz1568/getInfo.php?workbook=14_06.xlsx&amp;sheet=U0&amp;row=2310&amp;col=7&amp;number=0.00355&amp;sourceID=14","0.00355")</f>
        <v>0.00355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HYPERLINK("http://141.218.60.56/~jnz1568/getInfo.php?workbook=14_06.xlsx&amp;sheet=U0&amp;row=2311&amp;col=6&amp;number=3.7&amp;sourceID=14","3.7")</f>
        <v>3.7</v>
      </c>
      <c r="G2311" s="4" t="str">
        <f>HYPERLINK("http://141.218.60.56/~jnz1568/getInfo.php?workbook=14_06.xlsx&amp;sheet=U0&amp;row=2311&amp;col=7&amp;number=0.00355&amp;sourceID=14","0.00355")</f>
        <v>0.00355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HYPERLINK("http://141.218.60.56/~jnz1568/getInfo.php?workbook=14_06.xlsx&amp;sheet=U0&amp;row=2312&amp;col=6&amp;number=3.8&amp;sourceID=14","3.8")</f>
        <v>3.8</v>
      </c>
      <c r="G2312" s="4" t="str">
        <f>HYPERLINK("http://141.218.60.56/~jnz1568/getInfo.php?workbook=14_06.xlsx&amp;sheet=U0&amp;row=2312&amp;col=7&amp;number=0.00355&amp;sourceID=14","0.00355")</f>
        <v>0.00355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HYPERLINK("http://141.218.60.56/~jnz1568/getInfo.php?workbook=14_06.xlsx&amp;sheet=U0&amp;row=2313&amp;col=6&amp;number=3.9&amp;sourceID=14","3.9")</f>
        <v>3.9</v>
      </c>
      <c r="G2313" s="4" t="str">
        <f>HYPERLINK("http://141.218.60.56/~jnz1568/getInfo.php?workbook=14_06.xlsx&amp;sheet=U0&amp;row=2313&amp;col=7&amp;number=0.00355&amp;sourceID=14","0.00355")</f>
        <v>0.00355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HYPERLINK("http://141.218.60.56/~jnz1568/getInfo.php?workbook=14_06.xlsx&amp;sheet=U0&amp;row=2314&amp;col=6&amp;number=4&amp;sourceID=14","4")</f>
        <v>4</v>
      </c>
      <c r="G2314" s="4" t="str">
        <f>HYPERLINK("http://141.218.60.56/~jnz1568/getInfo.php?workbook=14_06.xlsx&amp;sheet=U0&amp;row=2314&amp;col=7&amp;number=0.00355&amp;sourceID=14","0.00355")</f>
        <v>0.00355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HYPERLINK("http://141.218.60.56/~jnz1568/getInfo.php?workbook=14_06.xlsx&amp;sheet=U0&amp;row=2315&amp;col=6&amp;number=4.1&amp;sourceID=14","4.1")</f>
        <v>4.1</v>
      </c>
      <c r="G2315" s="4" t="str">
        <f>HYPERLINK("http://141.218.60.56/~jnz1568/getInfo.php?workbook=14_06.xlsx&amp;sheet=U0&amp;row=2315&amp;col=7&amp;number=0.00355&amp;sourceID=14","0.00355")</f>
        <v>0.00355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HYPERLINK("http://141.218.60.56/~jnz1568/getInfo.php?workbook=14_06.xlsx&amp;sheet=U0&amp;row=2316&amp;col=6&amp;number=4.2&amp;sourceID=14","4.2")</f>
        <v>4.2</v>
      </c>
      <c r="G2316" s="4" t="str">
        <f>HYPERLINK("http://141.218.60.56/~jnz1568/getInfo.php?workbook=14_06.xlsx&amp;sheet=U0&amp;row=2316&amp;col=7&amp;number=0.00355&amp;sourceID=14","0.00355")</f>
        <v>0.00355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HYPERLINK("http://141.218.60.56/~jnz1568/getInfo.php?workbook=14_06.xlsx&amp;sheet=U0&amp;row=2317&amp;col=6&amp;number=4.3&amp;sourceID=14","4.3")</f>
        <v>4.3</v>
      </c>
      <c r="G2317" s="4" t="str">
        <f>HYPERLINK("http://141.218.60.56/~jnz1568/getInfo.php?workbook=14_06.xlsx&amp;sheet=U0&amp;row=2317&amp;col=7&amp;number=0.00354&amp;sourceID=14","0.00354")</f>
        <v>0.00354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HYPERLINK("http://141.218.60.56/~jnz1568/getInfo.php?workbook=14_06.xlsx&amp;sheet=U0&amp;row=2318&amp;col=6&amp;number=4.4&amp;sourceID=14","4.4")</f>
        <v>4.4</v>
      </c>
      <c r="G2318" s="4" t="str">
        <f>HYPERLINK("http://141.218.60.56/~jnz1568/getInfo.php?workbook=14_06.xlsx&amp;sheet=U0&amp;row=2318&amp;col=7&amp;number=0.00354&amp;sourceID=14","0.00354")</f>
        <v>0.00354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HYPERLINK("http://141.218.60.56/~jnz1568/getInfo.php?workbook=14_06.xlsx&amp;sheet=U0&amp;row=2319&amp;col=6&amp;number=4.5&amp;sourceID=14","4.5")</f>
        <v>4.5</v>
      </c>
      <c r="G2319" s="4" t="str">
        <f>HYPERLINK("http://141.218.60.56/~jnz1568/getInfo.php?workbook=14_06.xlsx&amp;sheet=U0&amp;row=2319&amp;col=7&amp;number=0.00354&amp;sourceID=14","0.00354")</f>
        <v>0.00354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HYPERLINK("http://141.218.60.56/~jnz1568/getInfo.php?workbook=14_06.xlsx&amp;sheet=U0&amp;row=2320&amp;col=6&amp;number=4.6&amp;sourceID=14","4.6")</f>
        <v>4.6</v>
      </c>
      <c r="G2320" s="4" t="str">
        <f>HYPERLINK("http://141.218.60.56/~jnz1568/getInfo.php?workbook=14_06.xlsx&amp;sheet=U0&amp;row=2320&amp;col=7&amp;number=0.00354&amp;sourceID=14","0.00354")</f>
        <v>0.00354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HYPERLINK("http://141.218.60.56/~jnz1568/getInfo.php?workbook=14_06.xlsx&amp;sheet=U0&amp;row=2321&amp;col=6&amp;number=4.7&amp;sourceID=14","4.7")</f>
        <v>4.7</v>
      </c>
      <c r="G2321" s="4" t="str">
        <f>HYPERLINK("http://141.218.60.56/~jnz1568/getInfo.php?workbook=14_06.xlsx&amp;sheet=U0&amp;row=2321&amp;col=7&amp;number=0.00353&amp;sourceID=14","0.00353")</f>
        <v>0.00353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HYPERLINK("http://141.218.60.56/~jnz1568/getInfo.php?workbook=14_06.xlsx&amp;sheet=U0&amp;row=2322&amp;col=6&amp;number=4.8&amp;sourceID=14","4.8")</f>
        <v>4.8</v>
      </c>
      <c r="G2322" s="4" t="str">
        <f>HYPERLINK("http://141.218.60.56/~jnz1568/getInfo.php?workbook=14_06.xlsx&amp;sheet=U0&amp;row=2322&amp;col=7&amp;number=0.00353&amp;sourceID=14","0.00353")</f>
        <v>0.00353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HYPERLINK("http://141.218.60.56/~jnz1568/getInfo.php?workbook=14_06.xlsx&amp;sheet=U0&amp;row=2323&amp;col=6&amp;number=4.9&amp;sourceID=14","4.9")</f>
        <v>4.9</v>
      </c>
      <c r="G2323" s="4" t="str">
        <f>HYPERLINK("http://141.218.60.56/~jnz1568/getInfo.php?workbook=14_06.xlsx&amp;sheet=U0&amp;row=2323&amp;col=7&amp;number=0.00352&amp;sourceID=14","0.00352")</f>
        <v>0.00352</v>
      </c>
    </row>
    <row r="2324" spans="1:7">
      <c r="A2324" s="3">
        <v>14</v>
      </c>
      <c r="B2324" s="3">
        <v>6</v>
      </c>
      <c r="C2324" s="3">
        <v>3</v>
      </c>
      <c r="D2324" s="3">
        <v>31</v>
      </c>
      <c r="E2324" s="3">
        <v>1</v>
      </c>
      <c r="F2324" s="4" t="str">
        <f>HYPERLINK("http://141.218.60.56/~jnz1568/getInfo.php?workbook=14_06.xlsx&amp;sheet=U0&amp;row=2324&amp;col=6&amp;number=3&amp;sourceID=14","3")</f>
        <v>3</v>
      </c>
      <c r="G2324" s="4" t="str">
        <f>HYPERLINK("http://141.218.60.56/~jnz1568/getInfo.php?workbook=14_06.xlsx&amp;sheet=U0&amp;row=2324&amp;col=7&amp;number=0.0162&amp;sourceID=14","0.0162")</f>
        <v>0.0162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HYPERLINK("http://141.218.60.56/~jnz1568/getInfo.php?workbook=14_06.xlsx&amp;sheet=U0&amp;row=2325&amp;col=6&amp;number=3.1&amp;sourceID=14","3.1")</f>
        <v>3.1</v>
      </c>
      <c r="G2325" s="4" t="str">
        <f>HYPERLINK("http://141.218.60.56/~jnz1568/getInfo.php?workbook=14_06.xlsx&amp;sheet=U0&amp;row=2325&amp;col=7&amp;number=0.0162&amp;sourceID=14","0.0162")</f>
        <v>0.0162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HYPERLINK("http://141.218.60.56/~jnz1568/getInfo.php?workbook=14_06.xlsx&amp;sheet=U0&amp;row=2326&amp;col=6&amp;number=3.2&amp;sourceID=14","3.2")</f>
        <v>3.2</v>
      </c>
      <c r="G2326" s="4" t="str">
        <f>HYPERLINK("http://141.218.60.56/~jnz1568/getInfo.php?workbook=14_06.xlsx&amp;sheet=U0&amp;row=2326&amp;col=7&amp;number=0.0162&amp;sourceID=14","0.0162")</f>
        <v>0.0162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HYPERLINK("http://141.218.60.56/~jnz1568/getInfo.php?workbook=14_06.xlsx&amp;sheet=U0&amp;row=2327&amp;col=6&amp;number=3.3&amp;sourceID=14","3.3")</f>
        <v>3.3</v>
      </c>
      <c r="G2327" s="4" t="str">
        <f>HYPERLINK("http://141.218.60.56/~jnz1568/getInfo.php?workbook=14_06.xlsx&amp;sheet=U0&amp;row=2327&amp;col=7&amp;number=0.0162&amp;sourceID=14","0.0162")</f>
        <v>0.0162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HYPERLINK("http://141.218.60.56/~jnz1568/getInfo.php?workbook=14_06.xlsx&amp;sheet=U0&amp;row=2328&amp;col=6&amp;number=3.4&amp;sourceID=14","3.4")</f>
        <v>3.4</v>
      </c>
      <c r="G2328" s="4" t="str">
        <f>HYPERLINK("http://141.218.60.56/~jnz1568/getInfo.php?workbook=14_06.xlsx&amp;sheet=U0&amp;row=2328&amp;col=7&amp;number=0.0162&amp;sourceID=14","0.0162")</f>
        <v>0.0162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HYPERLINK("http://141.218.60.56/~jnz1568/getInfo.php?workbook=14_06.xlsx&amp;sheet=U0&amp;row=2329&amp;col=6&amp;number=3.5&amp;sourceID=14","3.5")</f>
        <v>3.5</v>
      </c>
      <c r="G2329" s="4" t="str">
        <f>HYPERLINK("http://141.218.60.56/~jnz1568/getInfo.php?workbook=14_06.xlsx&amp;sheet=U0&amp;row=2329&amp;col=7&amp;number=0.0162&amp;sourceID=14","0.0162")</f>
        <v>0.0162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HYPERLINK("http://141.218.60.56/~jnz1568/getInfo.php?workbook=14_06.xlsx&amp;sheet=U0&amp;row=2330&amp;col=6&amp;number=3.6&amp;sourceID=14","3.6")</f>
        <v>3.6</v>
      </c>
      <c r="G2330" s="4" t="str">
        <f>HYPERLINK("http://141.218.60.56/~jnz1568/getInfo.php?workbook=14_06.xlsx&amp;sheet=U0&amp;row=2330&amp;col=7&amp;number=0.0162&amp;sourceID=14","0.0162")</f>
        <v>0.0162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HYPERLINK("http://141.218.60.56/~jnz1568/getInfo.php?workbook=14_06.xlsx&amp;sheet=U0&amp;row=2331&amp;col=6&amp;number=3.7&amp;sourceID=14","3.7")</f>
        <v>3.7</v>
      </c>
      <c r="G2331" s="4" t="str">
        <f>HYPERLINK("http://141.218.60.56/~jnz1568/getInfo.php?workbook=14_06.xlsx&amp;sheet=U0&amp;row=2331&amp;col=7&amp;number=0.0162&amp;sourceID=14","0.0162")</f>
        <v>0.0162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HYPERLINK("http://141.218.60.56/~jnz1568/getInfo.php?workbook=14_06.xlsx&amp;sheet=U0&amp;row=2332&amp;col=6&amp;number=3.8&amp;sourceID=14","3.8")</f>
        <v>3.8</v>
      </c>
      <c r="G2332" s="4" t="str">
        <f>HYPERLINK("http://141.218.60.56/~jnz1568/getInfo.php?workbook=14_06.xlsx&amp;sheet=U0&amp;row=2332&amp;col=7&amp;number=0.0162&amp;sourceID=14","0.0162")</f>
        <v>0.0162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HYPERLINK("http://141.218.60.56/~jnz1568/getInfo.php?workbook=14_06.xlsx&amp;sheet=U0&amp;row=2333&amp;col=6&amp;number=3.9&amp;sourceID=14","3.9")</f>
        <v>3.9</v>
      </c>
      <c r="G2333" s="4" t="str">
        <f>HYPERLINK("http://141.218.60.56/~jnz1568/getInfo.php?workbook=14_06.xlsx&amp;sheet=U0&amp;row=2333&amp;col=7&amp;number=0.0162&amp;sourceID=14","0.0162")</f>
        <v>0.0162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HYPERLINK("http://141.218.60.56/~jnz1568/getInfo.php?workbook=14_06.xlsx&amp;sheet=U0&amp;row=2334&amp;col=6&amp;number=4&amp;sourceID=14","4")</f>
        <v>4</v>
      </c>
      <c r="G2334" s="4" t="str">
        <f>HYPERLINK("http://141.218.60.56/~jnz1568/getInfo.php?workbook=14_06.xlsx&amp;sheet=U0&amp;row=2334&amp;col=7&amp;number=0.0162&amp;sourceID=14","0.0162")</f>
        <v>0.0162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HYPERLINK("http://141.218.60.56/~jnz1568/getInfo.php?workbook=14_06.xlsx&amp;sheet=U0&amp;row=2335&amp;col=6&amp;number=4.1&amp;sourceID=14","4.1")</f>
        <v>4.1</v>
      </c>
      <c r="G2335" s="4" t="str">
        <f>HYPERLINK("http://141.218.60.56/~jnz1568/getInfo.php?workbook=14_06.xlsx&amp;sheet=U0&amp;row=2335&amp;col=7&amp;number=0.0162&amp;sourceID=14","0.0162")</f>
        <v>0.0162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HYPERLINK("http://141.218.60.56/~jnz1568/getInfo.php?workbook=14_06.xlsx&amp;sheet=U0&amp;row=2336&amp;col=6&amp;number=4.2&amp;sourceID=14","4.2")</f>
        <v>4.2</v>
      </c>
      <c r="G2336" s="4" t="str">
        <f>HYPERLINK("http://141.218.60.56/~jnz1568/getInfo.php?workbook=14_06.xlsx&amp;sheet=U0&amp;row=2336&amp;col=7&amp;number=0.0162&amp;sourceID=14","0.0162")</f>
        <v>0.0162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HYPERLINK("http://141.218.60.56/~jnz1568/getInfo.php?workbook=14_06.xlsx&amp;sheet=U0&amp;row=2337&amp;col=6&amp;number=4.3&amp;sourceID=14","4.3")</f>
        <v>4.3</v>
      </c>
      <c r="G2337" s="4" t="str">
        <f>HYPERLINK("http://141.218.60.56/~jnz1568/getInfo.php?workbook=14_06.xlsx&amp;sheet=U0&amp;row=2337&amp;col=7&amp;number=0.0162&amp;sourceID=14","0.0162")</f>
        <v>0.0162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HYPERLINK("http://141.218.60.56/~jnz1568/getInfo.php?workbook=14_06.xlsx&amp;sheet=U0&amp;row=2338&amp;col=6&amp;number=4.4&amp;sourceID=14","4.4")</f>
        <v>4.4</v>
      </c>
      <c r="G2338" s="4" t="str">
        <f>HYPERLINK("http://141.218.60.56/~jnz1568/getInfo.php?workbook=14_06.xlsx&amp;sheet=U0&amp;row=2338&amp;col=7&amp;number=0.0162&amp;sourceID=14","0.0162")</f>
        <v>0.0162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HYPERLINK("http://141.218.60.56/~jnz1568/getInfo.php?workbook=14_06.xlsx&amp;sheet=U0&amp;row=2339&amp;col=6&amp;number=4.5&amp;sourceID=14","4.5")</f>
        <v>4.5</v>
      </c>
      <c r="G2339" s="4" t="str">
        <f>HYPERLINK("http://141.218.60.56/~jnz1568/getInfo.php?workbook=14_06.xlsx&amp;sheet=U0&amp;row=2339&amp;col=7&amp;number=0.0161&amp;sourceID=14","0.0161")</f>
        <v>0.0161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HYPERLINK("http://141.218.60.56/~jnz1568/getInfo.php?workbook=14_06.xlsx&amp;sheet=U0&amp;row=2340&amp;col=6&amp;number=4.6&amp;sourceID=14","4.6")</f>
        <v>4.6</v>
      </c>
      <c r="G2340" s="4" t="str">
        <f>HYPERLINK("http://141.218.60.56/~jnz1568/getInfo.php?workbook=14_06.xlsx&amp;sheet=U0&amp;row=2340&amp;col=7&amp;number=0.0161&amp;sourceID=14","0.0161")</f>
        <v>0.0161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HYPERLINK("http://141.218.60.56/~jnz1568/getInfo.php?workbook=14_06.xlsx&amp;sheet=U0&amp;row=2341&amp;col=6&amp;number=4.7&amp;sourceID=14","4.7")</f>
        <v>4.7</v>
      </c>
      <c r="G2341" s="4" t="str">
        <f>HYPERLINK("http://141.218.60.56/~jnz1568/getInfo.php?workbook=14_06.xlsx&amp;sheet=U0&amp;row=2341&amp;col=7&amp;number=0.0161&amp;sourceID=14","0.0161")</f>
        <v>0.0161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HYPERLINK("http://141.218.60.56/~jnz1568/getInfo.php?workbook=14_06.xlsx&amp;sheet=U0&amp;row=2342&amp;col=6&amp;number=4.8&amp;sourceID=14","4.8")</f>
        <v>4.8</v>
      </c>
      <c r="G2342" s="4" t="str">
        <f>HYPERLINK("http://141.218.60.56/~jnz1568/getInfo.php?workbook=14_06.xlsx&amp;sheet=U0&amp;row=2342&amp;col=7&amp;number=0.016&amp;sourceID=14","0.016")</f>
        <v>0.016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HYPERLINK("http://141.218.60.56/~jnz1568/getInfo.php?workbook=14_06.xlsx&amp;sheet=U0&amp;row=2343&amp;col=6&amp;number=4.9&amp;sourceID=14","4.9")</f>
        <v>4.9</v>
      </c>
      <c r="G2343" s="4" t="str">
        <f>HYPERLINK("http://141.218.60.56/~jnz1568/getInfo.php?workbook=14_06.xlsx&amp;sheet=U0&amp;row=2343&amp;col=7&amp;number=0.016&amp;sourceID=14","0.016")</f>
        <v>0.016</v>
      </c>
    </row>
    <row r="2344" spans="1:7">
      <c r="A2344" s="3">
        <v>14</v>
      </c>
      <c r="B2344" s="3">
        <v>6</v>
      </c>
      <c r="C2344" s="3">
        <v>3</v>
      </c>
      <c r="D2344" s="3">
        <v>32</v>
      </c>
      <c r="E2344" s="3">
        <v>1</v>
      </c>
      <c r="F2344" s="4" t="str">
        <f>HYPERLINK("http://141.218.60.56/~jnz1568/getInfo.php?workbook=14_06.xlsx&amp;sheet=U0&amp;row=2344&amp;col=6&amp;number=3&amp;sourceID=14","3")</f>
        <v>3</v>
      </c>
      <c r="G2344" s="4" t="str">
        <f>HYPERLINK("http://141.218.60.56/~jnz1568/getInfo.php?workbook=14_06.xlsx&amp;sheet=U0&amp;row=2344&amp;col=7&amp;number=0.285&amp;sourceID=14","0.285")</f>
        <v>0.285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HYPERLINK("http://141.218.60.56/~jnz1568/getInfo.php?workbook=14_06.xlsx&amp;sheet=U0&amp;row=2345&amp;col=6&amp;number=3.1&amp;sourceID=14","3.1")</f>
        <v>3.1</v>
      </c>
      <c r="G2345" s="4" t="str">
        <f>HYPERLINK("http://141.218.60.56/~jnz1568/getInfo.php?workbook=14_06.xlsx&amp;sheet=U0&amp;row=2345&amp;col=7&amp;number=0.285&amp;sourceID=14","0.285")</f>
        <v>0.285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HYPERLINK("http://141.218.60.56/~jnz1568/getInfo.php?workbook=14_06.xlsx&amp;sheet=U0&amp;row=2346&amp;col=6&amp;number=3.2&amp;sourceID=14","3.2")</f>
        <v>3.2</v>
      </c>
      <c r="G2346" s="4" t="str">
        <f>HYPERLINK("http://141.218.60.56/~jnz1568/getInfo.php?workbook=14_06.xlsx&amp;sheet=U0&amp;row=2346&amp;col=7&amp;number=0.285&amp;sourceID=14","0.285")</f>
        <v>0.285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HYPERLINK("http://141.218.60.56/~jnz1568/getInfo.php?workbook=14_06.xlsx&amp;sheet=U0&amp;row=2347&amp;col=6&amp;number=3.3&amp;sourceID=14","3.3")</f>
        <v>3.3</v>
      </c>
      <c r="G2347" s="4" t="str">
        <f>HYPERLINK("http://141.218.60.56/~jnz1568/getInfo.php?workbook=14_06.xlsx&amp;sheet=U0&amp;row=2347&amp;col=7&amp;number=0.285&amp;sourceID=14","0.285")</f>
        <v>0.285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HYPERLINK("http://141.218.60.56/~jnz1568/getInfo.php?workbook=14_06.xlsx&amp;sheet=U0&amp;row=2348&amp;col=6&amp;number=3.4&amp;sourceID=14","3.4")</f>
        <v>3.4</v>
      </c>
      <c r="G2348" s="4" t="str">
        <f>HYPERLINK("http://141.218.60.56/~jnz1568/getInfo.php?workbook=14_06.xlsx&amp;sheet=U0&amp;row=2348&amp;col=7&amp;number=0.285&amp;sourceID=14","0.285")</f>
        <v>0.285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HYPERLINK("http://141.218.60.56/~jnz1568/getInfo.php?workbook=14_06.xlsx&amp;sheet=U0&amp;row=2349&amp;col=6&amp;number=3.5&amp;sourceID=14","3.5")</f>
        <v>3.5</v>
      </c>
      <c r="G2349" s="4" t="str">
        <f>HYPERLINK("http://141.218.60.56/~jnz1568/getInfo.php?workbook=14_06.xlsx&amp;sheet=U0&amp;row=2349&amp;col=7&amp;number=0.285&amp;sourceID=14","0.285")</f>
        <v>0.285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HYPERLINK("http://141.218.60.56/~jnz1568/getInfo.php?workbook=14_06.xlsx&amp;sheet=U0&amp;row=2350&amp;col=6&amp;number=3.6&amp;sourceID=14","3.6")</f>
        <v>3.6</v>
      </c>
      <c r="G2350" s="4" t="str">
        <f>HYPERLINK("http://141.218.60.56/~jnz1568/getInfo.php?workbook=14_06.xlsx&amp;sheet=U0&amp;row=2350&amp;col=7&amp;number=0.285&amp;sourceID=14","0.285")</f>
        <v>0.285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HYPERLINK("http://141.218.60.56/~jnz1568/getInfo.php?workbook=14_06.xlsx&amp;sheet=U0&amp;row=2351&amp;col=6&amp;number=3.7&amp;sourceID=14","3.7")</f>
        <v>3.7</v>
      </c>
      <c r="G2351" s="4" t="str">
        <f>HYPERLINK("http://141.218.60.56/~jnz1568/getInfo.php?workbook=14_06.xlsx&amp;sheet=U0&amp;row=2351&amp;col=7&amp;number=0.285&amp;sourceID=14","0.285")</f>
        <v>0.285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HYPERLINK("http://141.218.60.56/~jnz1568/getInfo.php?workbook=14_06.xlsx&amp;sheet=U0&amp;row=2352&amp;col=6&amp;number=3.8&amp;sourceID=14","3.8")</f>
        <v>3.8</v>
      </c>
      <c r="G2352" s="4" t="str">
        <f>HYPERLINK("http://141.218.60.56/~jnz1568/getInfo.php?workbook=14_06.xlsx&amp;sheet=U0&amp;row=2352&amp;col=7&amp;number=0.285&amp;sourceID=14","0.285")</f>
        <v>0.285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HYPERLINK("http://141.218.60.56/~jnz1568/getInfo.php?workbook=14_06.xlsx&amp;sheet=U0&amp;row=2353&amp;col=6&amp;number=3.9&amp;sourceID=14","3.9")</f>
        <v>3.9</v>
      </c>
      <c r="G2353" s="4" t="str">
        <f>HYPERLINK("http://141.218.60.56/~jnz1568/getInfo.php?workbook=14_06.xlsx&amp;sheet=U0&amp;row=2353&amp;col=7&amp;number=0.285&amp;sourceID=14","0.285")</f>
        <v>0.285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HYPERLINK("http://141.218.60.56/~jnz1568/getInfo.php?workbook=14_06.xlsx&amp;sheet=U0&amp;row=2354&amp;col=6&amp;number=4&amp;sourceID=14","4")</f>
        <v>4</v>
      </c>
      <c r="G2354" s="4" t="str">
        <f>HYPERLINK("http://141.218.60.56/~jnz1568/getInfo.php?workbook=14_06.xlsx&amp;sheet=U0&amp;row=2354&amp;col=7&amp;number=0.285&amp;sourceID=14","0.285")</f>
        <v>0.285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HYPERLINK("http://141.218.60.56/~jnz1568/getInfo.php?workbook=14_06.xlsx&amp;sheet=U0&amp;row=2355&amp;col=6&amp;number=4.1&amp;sourceID=14","4.1")</f>
        <v>4.1</v>
      </c>
      <c r="G2355" s="4" t="str">
        <f>HYPERLINK("http://141.218.60.56/~jnz1568/getInfo.php?workbook=14_06.xlsx&amp;sheet=U0&amp;row=2355&amp;col=7&amp;number=0.285&amp;sourceID=14","0.285")</f>
        <v>0.285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HYPERLINK("http://141.218.60.56/~jnz1568/getInfo.php?workbook=14_06.xlsx&amp;sheet=U0&amp;row=2356&amp;col=6&amp;number=4.2&amp;sourceID=14","4.2")</f>
        <v>4.2</v>
      </c>
      <c r="G2356" s="4" t="str">
        <f>HYPERLINK("http://141.218.60.56/~jnz1568/getInfo.php?workbook=14_06.xlsx&amp;sheet=U0&amp;row=2356&amp;col=7&amp;number=0.285&amp;sourceID=14","0.285")</f>
        <v>0.285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HYPERLINK("http://141.218.60.56/~jnz1568/getInfo.php?workbook=14_06.xlsx&amp;sheet=U0&amp;row=2357&amp;col=6&amp;number=4.3&amp;sourceID=14","4.3")</f>
        <v>4.3</v>
      </c>
      <c r="G2357" s="4" t="str">
        <f>HYPERLINK("http://141.218.60.56/~jnz1568/getInfo.php?workbook=14_06.xlsx&amp;sheet=U0&amp;row=2357&amp;col=7&amp;number=0.285&amp;sourceID=14","0.285")</f>
        <v>0.285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HYPERLINK("http://141.218.60.56/~jnz1568/getInfo.php?workbook=14_06.xlsx&amp;sheet=U0&amp;row=2358&amp;col=6&amp;number=4.4&amp;sourceID=14","4.4")</f>
        <v>4.4</v>
      </c>
      <c r="G2358" s="4" t="str">
        <f>HYPERLINK("http://141.218.60.56/~jnz1568/getInfo.php?workbook=14_06.xlsx&amp;sheet=U0&amp;row=2358&amp;col=7&amp;number=0.285&amp;sourceID=14","0.285")</f>
        <v>0.285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HYPERLINK("http://141.218.60.56/~jnz1568/getInfo.php?workbook=14_06.xlsx&amp;sheet=U0&amp;row=2359&amp;col=6&amp;number=4.5&amp;sourceID=14","4.5")</f>
        <v>4.5</v>
      </c>
      <c r="G2359" s="4" t="str">
        <f>HYPERLINK("http://141.218.60.56/~jnz1568/getInfo.php?workbook=14_06.xlsx&amp;sheet=U0&amp;row=2359&amp;col=7&amp;number=0.286&amp;sourceID=14","0.286")</f>
        <v>0.286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HYPERLINK("http://141.218.60.56/~jnz1568/getInfo.php?workbook=14_06.xlsx&amp;sheet=U0&amp;row=2360&amp;col=6&amp;number=4.6&amp;sourceID=14","4.6")</f>
        <v>4.6</v>
      </c>
      <c r="G2360" s="4" t="str">
        <f>HYPERLINK("http://141.218.60.56/~jnz1568/getInfo.php?workbook=14_06.xlsx&amp;sheet=U0&amp;row=2360&amp;col=7&amp;number=0.286&amp;sourceID=14","0.286")</f>
        <v>0.286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HYPERLINK("http://141.218.60.56/~jnz1568/getInfo.php?workbook=14_06.xlsx&amp;sheet=U0&amp;row=2361&amp;col=6&amp;number=4.7&amp;sourceID=14","4.7")</f>
        <v>4.7</v>
      </c>
      <c r="G2361" s="4" t="str">
        <f>HYPERLINK("http://141.218.60.56/~jnz1568/getInfo.php?workbook=14_06.xlsx&amp;sheet=U0&amp;row=2361&amp;col=7&amp;number=0.286&amp;sourceID=14","0.286")</f>
        <v>0.286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HYPERLINK("http://141.218.60.56/~jnz1568/getInfo.php?workbook=14_06.xlsx&amp;sheet=U0&amp;row=2362&amp;col=6&amp;number=4.8&amp;sourceID=14","4.8")</f>
        <v>4.8</v>
      </c>
      <c r="G2362" s="4" t="str">
        <f>HYPERLINK("http://141.218.60.56/~jnz1568/getInfo.php?workbook=14_06.xlsx&amp;sheet=U0&amp;row=2362&amp;col=7&amp;number=0.286&amp;sourceID=14","0.286")</f>
        <v>0.286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HYPERLINK("http://141.218.60.56/~jnz1568/getInfo.php?workbook=14_06.xlsx&amp;sheet=U0&amp;row=2363&amp;col=6&amp;number=4.9&amp;sourceID=14","4.9")</f>
        <v>4.9</v>
      </c>
      <c r="G2363" s="4" t="str">
        <f>HYPERLINK("http://141.218.60.56/~jnz1568/getInfo.php?workbook=14_06.xlsx&amp;sheet=U0&amp;row=2363&amp;col=7&amp;number=0.287&amp;sourceID=14","0.287")</f>
        <v>0.287</v>
      </c>
    </row>
    <row r="2364" spans="1:7">
      <c r="A2364" s="3">
        <v>14</v>
      </c>
      <c r="B2364" s="3">
        <v>6</v>
      </c>
      <c r="C2364" s="3">
        <v>3</v>
      </c>
      <c r="D2364" s="3">
        <v>33</v>
      </c>
      <c r="E2364" s="3">
        <v>1</v>
      </c>
      <c r="F2364" s="4" t="str">
        <f>HYPERLINK("http://141.218.60.56/~jnz1568/getInfo.php?workbook=14_06.xlsx&amp;sheet=U0&amp;row=2364&amp;col=6&amp;number=3&amp;sourceID=14","3")</f>
        <v>3</v>
      </c>
      <c r="G2364" s="4" t="str">
        <f>HYPERLINK("http://141.218.60.56/~jnz1568/getInfo.php?workbook=14_06.xlsx&amp;sheet=U0&amp;row=2364&amp;col=7&amp;number=0.0263&amp;sourceID=14","0.0263")</f>
        <v>0.0263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HYPERLINK("http://141.218.60.56/~jnz1568/getInfo.php?workbook=14_06.xlsx&amp;sheet=U0&amp;row=2365&amp;col=6&amp;number=3.1&amp;sourceID=14","3.1")</f>
        <v>3.1</v>
      </c>
      <c r="G2365" s="4" t="str">
        <f>HYPERLINK("http://141.218.60.56/~jnz1568/getInfo.php?workbook=14_06.xlsx&amp;sheet=U0&amp;row=2365&amp;col=7&amp;number=0.0263&amp;sourceID=14","0.0263")</f>
        <v>0.0263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HYPERLINK("http://141.218.60.56/~jnz1568/getInfo.php?workbook=14_06.xlsx&amp;sheet=U0&amp;row=2366&amp;col=6&amp;number=3.2&amp;sourceID=14","3.2")</f>
        <v>3.2</v>
      </c>
      <c r="G2366" s="4" t="str">
        <f>HYPERLINK("http://141.218.60.56/~jnz1568/getInfo.php?workbook=14_06.xlsx&amp;sheet=U0&amp;row=2366&amp;col=7&amp;number=0.0263&amp;sourceID=14","0.0263")</f>
        <v>0.0263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HYPERLINK("http://141.218.60.56/~jnz1568/getInfo.php?workbook=14_06.xlsx&amp;sheet=U0&amp;row=2367&amp;col=6&amp;number=3.3&amp;sourceID=14","3.3")</f>
        <v>3.3</v>
      </c>
      <c r="G2367" s="4" t="str">
        <f>HYPERLINK("http://141.218.60.56/~jnz1568/getInfo.php?workbook=14_06.xlsx&amp;sheet=U0&amp;row=2367&amp;col=7&amp;number=0.0263&amp;sourceID=14","0.0263")</f>
        <v>0.0263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HYPERLINK("http://141.218.60.56/~jnz1568/getInfo.php?workbook=14_06.xlsx&amp;sheet=U0&amp;row=2368&amp;col=6&amp;number=3.4&amp;sourceID=14","3.4")</f>
        <v>3.4</v>
      </c>
      <c r="G2368" s="4" t="str">
        <f>HYPERLINK("http://141.218.60.56/~jnz1568/getInfo.php?workbook=14_06.xlsx&amp;sheet=U0&amp;row=2368&amp;col=7&amp;number=0.0263&amp;sourceID=14","0.0263")</f>
        <v>0.0263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HYPERLINK("http://141.218.60.56/~jnz1568/getInfo.php?workbook=14_06.xlsx&amp;sheet=U0&amp;row=2369&amp;col=6&amp;number=3.5&amp;sourceID=14","3.5")</f>
        <v>3.5</v>
      </c>
      <c r="G2369" s="4" t="str">
        <f>HYPERLINK("http://141.218.60.56/~jnz1568/getInfo.php?workbook=14_06.xlsx&amp;sheet=U0&amp;row=2369&amp;col=7&amp;number=0.0263&amp;sourceID=14","0.0263")</f>
        <v>0.0263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HYPERLINK("http://141.218.60.56/~jnz1568/getInfo.php?workbook=14_06.xlsx&amp;sheet=U0&amp;row=2370&amp;col=6&amp;number=3.6&amp;sourceID=14","3.6")</f>
        <v>3.6</v>
      </c>
      <c r="G2370" s="4" t="str">
        <f>HYPERLINK("http://141.218.60.56/~jnz1568/getInfo.php?workbook=14_06.xlsx&amp;sheet=U0&amp;row=2370&amp;col=7&amp;number=0.0263&amp;sourceID=14","0.0263")</f>
        <v>0.0263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HYPERLINK("http://141.218.60.56/~jnz1568/getInfo.php?workbook=14_06.xlsx&amp;sheet=U0&amp;row=2371&amp;col=6&amp;number=3.7&amp;sourceID=14","3.7")</f>
        <v>3.7</v>
      </c>
      <c r="G2371" s="4" t="str">
        <f>HYPERLINK("http://141.218.60.56/~jnz1568/getInfo.php?workbook=14_06.xlsx&amp;sheet=U0&amp;row=2371&amp;col=7&amp;number=0.0263&amp;sourceID=14","0.0263")</f>
        <v>0.0263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HYPERLINK("http://141.218.60.56/~jnz1568/getInfo.php?workbook=14_06.xlsx&amp;sheet=U0&amp;row=2372&amp;col=6&amp;number=3.8&amp;sourceID=14","3.8")</f>
        <v>3.8</v>
      </c>
      <c r="G2372" s="4" t="str">
        <f>HYPERLINK("http://141.218.60.56/~jnz1568/getInfo.php?workbook=14_06.xlsx&amp;sheet=U0&amp;row=2372&amp;col=7&amp;number=0.0263&amp;sourceID=14","0.0263")</f>
        <v>0.0263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HYPERLINK("http://141.218.60.56/~jnz1568/getInfo.php?workbook=14_06.xlsx&amp;sheet=U0&amp;row=2373&amp;col=6&amp;number=3.9&amp;sourceID=14","3.9")</f>
        <v>3.9</v>
      </c>
      <c r="G2373" s="4" t="str">
        <f>HYPERLINK("http://141.218.60.56/~jnz1568/getInfo.php?workbook=14_06.xlsx&amp;sheet=U0&amp;row=2373&amp;col=7&amp;number=0.0263&amp;sourceID=14","0.0263")</f>
        <v>0.0263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HYPERLINK("http://141.218.60.56/~jnz1568/getInfo.php?workbook=14_06.xlsx&amp;sheet=U0&amp;row=2374&amp;col=6&amp;number=4&amp;sourceID=14","4")</f>
        <v>4</v>
      </c>
      <c r="G2374" s="4" t="str">
        <f>HYPERLINK("http://141.218.60.56/~jnz1568/getInfo.php?workbook=14_06.xlsx&amp;sheet=U0&amp;row=2374&amp;col=7&amp;number=0.0263&amp;sourceID=14","0.0263")</f>
        <v>0.0263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HYPERLINK("http://141.218.60.56/~jnz1568/getInfo.php?workbook=14_06.xlsx&amp;sheet=U0&amp;row=2375&amp;col=6&amp;number=4.1&amp;sourceID=14","4.1")</f>
        <v>4.1</v>
      </c>
      <c r="G2375" s="4" t="str">
        <f>HYPERLINK("http://141.218.60.56/~jnz1568/getInfo.php?workbook=14_06.xlsx&amp;sheet=U0&amp;row=2375&amp;col=7&amp;number=0.0262&amp;sourceID=14","0.0262")</f>
        <v>0.0262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HYPERLINK("http://141.218.60.56/~jnz1568/getInfo.php?workbook=14_06.xlsx&amp;sheet=U0&amp;row=2376&amp;col=6&amp;number=4.2&amp;sourceID=14","4.2")</f>
        <v>4.2</v>
      </c>
      <c r="G2376" s="4" t="str">
        <f>HYPERLINK("http://141.218.60.56/~jnz1568/getInfo.php?workbook=14_06.xlsx&amp;sheet=U0&amp;row=2376&amp;col=7&amp;number=0.0262&amp;sourceID=14","0.0262")</f>
        <v>0.0262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HYPERLINK("http://141.218.60.56/~jnz1568/getInfo.php?workbook=14_06.xlsx&amp;sheet=U0&amp;row=2377&amp;col=6&amp;number=4.3&amp;sourceID=14","4.3")</f>
        <v>4.3</v>
      </c>
      <c r="G2377" s="4" t="str">
        <f>HYPERLINK("http://141.218.60.56/~jnz1568/getInfo.php?workbook=14_06.xlsx&amp;sheet=U0&amp;row=2377&amp;col=7&amp;number=0.0262&amp;sourceID=14","0.0262")</f>
        <v>0.0262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HYPERLINK("http://141.218.60.56/~jnz1568/getInfo.php?workbook=14_06.xlsx&amp;sheet=U0&amp;row=2378&amp;col=6&amp;number=4.4&amp;sourceID=14","4.4")</f>
        <v>4.4</v>
      </c>
      <c r="G2378" s="4" t="str">
        <f>HYPERLINK("http://141.218.60.56/~jnz1568/getInfo.php?workbook=14_06.xlsx&amp;sheet=U0&amp;row=2378&amp;col=7&amp;number=0.0261&amp;sourceID=14","0.0261")</f>
        <v>0.0261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HYPERLINK("http://141.218.60.56/~jnz1568/getInfo.php?workbook=14_06.xlsx&amp;sheet=U0&amp;row=2379&amp;col=6&amp;number=4.5&amp;sourceID=14","4.5")</f>
        <v>4.5</v>
      </c>
      <c r="G2379" s="4" t="str">
        <f>HYPERLINK("http://141.218.60.56/~jnz1568/getInfo.php?workbook=14_06.xlsx&amp;sheet=U0&amp;row=2379&amp;col=7&amp;number=0.026&amp;sourceID=14","0.026")</f>
        <v>0.026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HYPERLINK("http://141.218.60.56/~jnz1568/getInfo.php?workbook=14_06.xlsx&amp;sheet=U0&amp;row=2380&amp;col=6&amp;number=4.6&amp;sourceID=14","4.6")</f>
        <v>4.6</v>
      </c>
      <c r="G2380" s="4" t="str">
        <f>HYPERLINK("http://141.218.60.56/~jnz1568/getInfo.php?workbook=14_06.xlsx&amp;sheet=U0&amp;row=2380&amp;col=7&amp;number=0.026&amp;sourceID=14","0.026")</f>
        <v>0.026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HYPERLINK("http://141.218.60.56/~jnz1568/getInfo.php?workbook=14_06.xlsx&amp;sheet=U0&amp;row=2381&amp;col=6&amp;number=4.7&amp;sourceID=14","4.7")</f>
        <v>4.7</v>
      </c>
      <c r="G2381" s="4" t="str">
        <f>HYPERLINK("http://141.218.60.56/~jnz1568/getInfo.php?workbook=14_06.xlsx&amp;sheet=U0&amp;row=2381&amp;col=7&amp;number=0.0259&amp;sourceID=14","0.0259")</f>
        <v>0.0259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HYPERLINK("http://141.218.60.56/~jnz1568/getInfo.php?workbook=14_06.xlsx&amp;sheet=U0&amp;row=2382&amp;col=6&amp;number=4.8&amp;sourceID=14","4.8")</f>
        <v>4.8</v>
      </c>
      <c r="G2382" s="4" t="str">
        <f>HYPERLINK("http://141.218.60.56/~jnz1568/getInfo.php?workbook=14_06.xlsx&amp;sheet=U0&amp;row=2382&amp;col=7&amp;number=0.0257&amp;sourceID=14","0.0257")</f>
        <v>0.0257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HYPERLINK("http://141.218.60.56/~jnz1568/getInfo.php?workbook=14_06.xlsx&amp;sheet=U0&amp;row=2383&amp;col=6&amp;number=4.9&amp;sourceID=14","4.9")</f>
        <v>4.9</v>
      </c>
      <c r="G2383" s="4" t="str">
        <f>HYPERLINK("http://141.218.60.56/~jnz1568/getInfo.php?workbook=14_06.xlsx&amp;sheet=U0&amp;row=2383&amp;col=7&amp;number=0.0256&amp;sourceID=14","0.0256")</f>
        <v>0.0256</v>
      </c>
    </row>
    <row r="2384" spans="1:7">
      <c r="A2384" s="3">
        <v>14</v>
      </c>
      <c r="B2384" s="3">
        <v>6</v>
      </c>
      <c r="C2384" s="3">
        <v>3</v>
      </c>
      <c r="D2384" s="3">
        <v>34</v>
      </c>
      <c r="E2384" s="3">
        <v>1</v>
      </c>
      <c r="F2384" s="4" t="str">
        <f>HYPERLINK("http://141.218.60.56/~jnz1568/getInfo.php?workbook=14_06.xlsx&amp;sheet=U0&amp;row=2384&amp;col=6&amp;number=3&amp;sourceID=14","3")</f>
        <v>3</v>
      </c>
      <c r="G2384" s="4" t="str">
        <f>HYPERLINK("http://141.218.60.56/~jnz1568/getInfo.php?workbook=14_06.xlsx&amp;sheet=U0&amp;row=2384&amp;col=7&amp;number=0.00403&amp;sourceID=14","0.00403")</f>
        <v>0.00403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HYPERLINK("http://141.218.60.56/~jnz1568/getInfo.php?workbook=14_06.xlsx&amp;sheet=U0&amp;row=2385&amp;col=6&amp;number=3.1&amp;sourceID=14","3.1")</f>
        <v>3.1</v>
      </c>
      <c r="G2385" s="4" t="str">
        <f>HYPERLINK("http://141.218.60.56/~jnz1568/getInfo.php?workbook=14_06.xlsx&amp;sheet=U0&amp;row=2385&amp;col=7&amp;number=0.00403&amp;sourceID=14","0.00403")</f>
        <v>0.00403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HYPERLINK("http://141.218.60.56/~jnz1568/getInfo.php?workbook=14_06.xlsx&amp;sheet=U0&amp;row=2386&amp;col=6&amp;number=3.2&amp;sourceID=14","3.2")</f>
        <v>3.2</v>
      </c>
      <c r="G2386" s="4" t="str">
        <f>HYPERLINK("http://141.218.60.56/~jnz1568/getInfo.php?workbook=14_06.xlsx&amp;sheet=U0&amp;row=2386&amp;col=7&amp;number=0.00403&amp;sourceID=14","0.00403")</f>
        <v>0.00403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HYPERLINK("http://141.218.60.56/~jnz1568/getInfo.php?workbook=14_06.xlsx&amp;sheet=U0&amp;row=2387&amp;col=6&amp;number=3.3&amp;sourceID=14","3.3")</f>
        <v>3.3</v>
      </c>
      <c r="G2387" s="4" t="str">
        <f>HYPERLINK("http://141.218.60.56/~jnz1568/getInfo.php?workbook=14_06.xlsx&amp;sheet=U0&amp;row=2387&amp;col=7&amp;number=0.00402&amp;sourceID=14","0.00402")</f>
        <v>0.00402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HYPERLINK("http://141.218.60.56/~jnz1568/getInfo.php?workbook=14_06.xlsx&amp;sheet=U0&amp;row=2388&amp;col=6&amp;number=3.4&amp;sourceID=14","3.4")</f>
        <v>3.4</v>
      </c>
      <c r="G2388" s="4" t="str">
        <f>HYPERLINK("http://141.218.60.56/~jnz1568/getInfo.php?workbook=14_06.xlsx&amp;sheet=U0&amp;row=2388&amp;col=7&amp;number=0.00402&amp;sourceID=14","0.00402")</f>
        <v>0.00402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HYPERLINK("http://141.218.60.56/~jnz1568/getInfo.php?workbook=14_06.xlsx&amp;sheet=U0&amp;row=2389&amp;col=6&amp;number=3.5&amp;sourceID=14","3.5")</f>
        <v>3.5</v>
      </c>
      <c r="G2389" s="4" t="str">
        <f>HYPERLINK("http://141.218.60.56/~jnz1568/getInfo.php?workbook=14_06.xlsx&amp;sheet=U0&amp;row=2389&amp;col=7&amp;number=0.00402&amp;sourceID=14","0.00402")</f>
        <v>0.00402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HYPERLINK("http://141.218.60.56/~jnz1568/getInfo.php?workbook=14_06.xlsx&amp;sheet=U0&amp;row=2390&amp;col=6&amp;number=3.6&amp;sourceID=14","3.6")</f>
        <v>3.6</v>
      </c>
      <c r="G2390" s="4" t="str">
        <f>HYPERLINK("http://141.218.60.56/~jnz1568/getInfo.php?workbook=14_06.xlsx&amp;sheet=U0&amp;row=2390&amp;col=7&amp;number=0.00402&amp;sourceID=14","0.00402")</f>
        <v>0.00402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HYPERLINK("http://141.218.60.56/~jnz1568/getInfo.php?workbook=14_06.xlsx&amp;sheet=U0&amp;row=2391&amp;col=6&amp;number=3.7&amp;sourceID=14","3.7")</f>
        <v>3.7</v>
      </c>
      <c r="G2391" s="4" t="str">
        <f>HYPERLINK("http://141.218.60.56/~jnz1568/getInfo.php?workbook=14_06.xlsx&amp;sheet=U0&amp;row=2391&amp;col=7&amp;number=0.00402&amp;sourceID=14","0.00402")</f>
        <v>0.00402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HYPERLINK("http://141.218.60.56/~jnz1568/getInfo.php?workbook=14_06.xlsx&amp;sheet=U0&amp;row=2392&amp;col=6&amp;number=3.8&amp;sourceID=14","3.8")</f>
        <v>3.8</v>
      </c>
      <c r="G2392" s="4" t="str">
        <f>HYPERLINK("http://141.218.60.56/~jnz1568/getInfo.php?workbook=14_06.xlsx&amp;sheet=U0&amp;row=2392&amp;col=7&amp;number=0.00402&amp;sourceID=14","0.00402")</f>
        <v>0.00402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HYPERLINK("http://141.218.60.56/~jnz1568/getInfo.php?workbook=14_06.xlsx&amp;sheet=U0&amp;row=2393&amp;col=6&amp;number=3.9&amp;sourceID=14","3.9")</f>
        <v>3.9</v>
      </c>
      <c r="G2393" s="4" t="str">
        <f>HYPERLINK("http://141.218.60.56/~jnz1568/getInfo.php?workbook=14_06.xlsx&amp;sheet=U0&amp;row=2393&amp;col=7&amp;number=0.00401&amp;sourceID=14","0.00401")</f>
        <v>0.00401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HYPERLINK("http://141.218.60.56/~jnz1568/getInfo.php?workbook=14_06.xlsx&amp;sheet=U0&amp;row=2394&amp;col=6&amp;number=4&amp;sourceID=14","4")</f>
        <v>4</v>
      </c>
      <c r="G2394" s="4" t="str">
        <f>HYPERLINK("http://141.218.60.56/~jnz1568/getInfo.php?workbook=14_06.xlsx&amp;sheet=U0&amp;row=2394&amp;col=7&amp;number=0.00401&amp;sourceID=14","0.00401")</f>
        <v>0.00401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HYPERLINK("http://141.218.60.56/~jnz1568/getInfo.php?workbook=14_06.xlsx&amp;sheet=U0&amp;row=2395&amp;col=6&amp;number=4.1&amp;sourceID=14","4.1")</f>
        <v>4.1</v>
      </c>
      <c r="G2395" s="4" t="str">
        <f>HYPERLINK("http://141.218.60.56/~jnz1568/getInfo.php?workbook=14_06.xlsx&amp;sheet=U0&amp;row=2395&amp;col=7&amp;number=0.00401&amp;sourceID=14","0.00401")</f>
        <v>0.00401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HYPERLINK("http://141.218.60.56/~jnz1568/getInfo.php?workbook=14_06.xlsx&amp;sheet=U0&amp;row=2396&amp;col=6&amp;number=4.2&amp;sourceID=14","4.2")</f>
        <v>4.2</v>
      </c>
      <c r="G2396" s="4" t="str">
        <f>HYPERLINK("http://141.218.60.56/~jnz1568/getInfo.php?workbook=14_06.xlsx&amp;sheet=U0&amp;row=2396&amp;col=7&amp;number=0.004&amp;sourceID=14","0.004")</f>
        <v>0.004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HYPERLINK("http://141.218.60.56/~jnz1568/getInfo.php?workbook=14_06.xlsx&amp;sheet=U0&amp;row=2397&amp;col=6&amp;number=4.3&amp;sourceID=14","4.3")</f>
        <v>4.3</v>
      </c>
      <c r="G2397" s="4" t="str">
        <f>HYPERLINK("http://141.218.60.56/~jnz1568/getInfo.php?workbook=14_06.xlsx&amp;sheet=U0&amp;row=2397&amp;col=7&amp;number=0.00399&amp;sourceID=14","0.00399")</f>
        <v>0.00399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HYPERLINK("http://141.218.60.56/~jnz1568/getInfo.php?workbook=14_06.xlsx&amp;sheet=U0&amp;row=2398&amp;col=6&amp;number=4.4&amp;sourceID=14","4.4")</f>
        <v>4.4</v>
      </c>
      <c r="G2398" s="4" t="str">
        <f>HYPERLINK("http://141.218.60.56/~jnz1568/getInfo.php?workbook=14_06.xlsx&amp;sheet=U0&amp;row=2398&amp;col=7&amp;number=0.00398&amp;sourceID=14","0.00398")</f>
        <v>0.00398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HYPERLINK("http://141.218.60.56/~jnz1568/getInfo.php?workbook=14_06.xlsx&amp;sheet=U0&amp;row=2399&amp;col=6&amp;number=4.5&amp;sourceID=14","4.5")</f>
        <v>4.5</v>
      </c>
      <c r="G2399" s="4" t="str">
        <f>HYPERLINK("http://141.218.60.56/~jnz1568/getInfo.php?workbook=14_06.xlsx&amp;sheet=U0&amp;row=2399&amp;col=7&amp;number=0.00397&amp;sourceID=14","0.00397")</f>
        <v>0.00397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HYPERLINK("http://141.218.60.56/~jnz1568/getInfo.php?workbook=14_06.xlsx&amp;sheet=U0&amp;row=2400&amp;col=6&amp;number=4.6&amp;sourceID=14","4.6")</f>
        <v>4.6</v>
      </c>
      <c r="G2400" s="4" t="str">
        <f>HYPERLINK("http://141.218.60.56/~jnz1568/getInfo.php?workbook=14_06.xlsx&amp;sheet=U0&amp;row=2400&amp;col=7&amp;number=0.00396&amp;sourceID=14","0.00396")</f>
        <v>0.00396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HYPERLINK("http://141.218.60.56/~jnz1568/getInfo.php?workbook=14_06.xlsx&amp;sheet=U0&amp;row=2401&amp;col=6&amp;number=4.7&amp;sourceID=14","4.7")</f>
        <v>4.7</v>
      </c>
      <c r="G2401" s="4" t="str">
        <f>HYPERLINK("http://141.218.60.56/~jnz1568/getInfo.php?workbook=14_06.xlsx&amp;sheet=U0&amp;row=2401&amp;col=7&amp;number=0.00394&amp;sourceID=14","0.00394")</f>
        <v>0.00394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HYPERLINK("http://141.218.60.56/~jnz1568/getInfo.php?workbook=14_06.xlsx&amp;sheet=U0&amp;row=2402&amp;col=6&amp;number=4.8&amp;sourceID=14","4.8")</f>
        <v>4.8</v>
      </c>
      <c r="G2402" s="4" t="str">
        <f>HYPERLINK("http://141.218.60.56/~jnz1568/getInfo.php?workbook=14_06.xlsx&amp;sheet=U0&amp;row=2402&amp;col=7&amp;number=0.00392&amp;sourceID=14","0.00392")</f>
        <v>0.00392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HYPERLINK("http://141.218.60.56/~jnz1568/getInfo.php?workbook=14_06.xlsx&amp;sheet=U0&amp;row=2403&amp;col=6&amp;number=4.9&amp;sourceID=14","4.9")</f>
        <v>4.9</v>
      </c>
      <c r="G2403" s="4" t="str">
        <f>HYPERLINK("http://141.218.60.56/~jnz1568/getInfo.php?workbook=14_06.xlsx&amp;sheet=U0&amp;row=2403&amp;col=7&amp;number=0.00389&amp;sourceID=14","0.00389")</f>
        <v>0.00389</v>
      </c>
    </row>
    <row r="2404" spans="1:7">
      <c r="A2404" s="3">
        <v>14</v>
      </c>
      <c r="B2404" s="3">
        <v>6</v>
      </c>
      <c r="C2404" s="3">
        <v>3</v>
      </c>
      <c r="D2404" s="3">
        <v>35</v>
      </c>
      <c r="E2404" s="3">
        <v>1</v>
      </c>
      <c r="F2404" s="4" t="str">
        <f>HYPERLINK("http://141.218.60.56/~jnz1568/getInfo.php?workbook=14_06.xlsx&amp;sheet=U0&amp;row=2404&amp;col=6&amp;number=3&amp;sourceID=14","3")</f>
        <v>3</v>
      </c>
      <c r="G2404" s="4" t="str">
        <f>HYPERLINK("http://141.218.60.56/~jnz1568/getInfo.php?workbook=14_06.xlsx&amp;sheet=U0&amp;row=2404&amp;col=7&amp;number=0.0195&amp;sourceID=14","0.0195")</f>
        <v>0.0195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HYPERLINK("http://141.218.60.56/~jnz1568/getInfo.php?workbook=14_06.xlsx&amp;sheet=U0&amp;row=2405&amp;col=6&amp;number=3.1&amp;sourceID=14","3.1")</f>
        <v>3.1</v>
      </c>
      <c r="G2405" s="4" t="str">
        <f>HYPERLINK("http://141.218.60.56/~jnz1568/getInfo.php?workbook=14_06.xlsx&amp;sheet=U0&amp;row=2405&amp;col=7&amp;number=0.0195&amp;sourceID=14","0.0195")</f>
        <v>0.0195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HYPERLINK("http://141.218.60.56/~jnz1568/getInfo.php?workbook=14_06.xlsx&amp;sheet=U0&amp;row=2406&amp;col=6&amp;number=3.2&amp;sourceID=14","3.2")</f>
        <v>3.2</v>
      </c>
      <c r="G2406" s="4" t="str">
        <f>HYPERLINK("http://141.218.60.56/~jnz1568/getInfo.php?workbook=14_06.xlsx&amp;sheet=U0&amp;row=2406&amp;col=7&amp;number=0.0195&amp;sourceID=14","0.0195")</f>
        <v>0.0195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HYPERLINK("http://141.218.60.56/~jnz1568/getInfo.php?workbook=14_06.xlsx&amp;sheet=U0&amp;row=2407&amp;col=6&amp;number=3.3&amp;sourceID=14","3.3")</f>
        <v>3.3</v>
      </c>
      <c r="G2407" s="4" t="str">
        <f>HYPERLINK("http://141.218.60.56/~jnz1568/getInfo.php?workbook=14_06.xlsx&amp;sheet=U0&amp;row=2407&amp;col=7&amp;number=0.0195&amp;sourceID=14","0.0195")</f>
        <v>0.0195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HYPERLINK("http://141.218.60.56/~jnz1568/getInfo.php?workbook=14_06.xlsx&amp;sheet=U0&amp;row=2408&amp;col=6&amp;number=3.4&amp;sourceID=14","3.4")</f>
        <v>3.4</v>
      </c>
      <c r="G2408" s="4" t="str">
        <f>HYPERLINK("http://141.218.60.56/~jnz1568/getInfo.php?workbook=14_06.xlsx&amp;sheet=U0&amp;row=2408&amp;col=7&amp;number=0.0195&amp;sourceID=14","0.0195")</f>
        <v>0.0195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HYPERLINK("http://141.218.60.56/~jnz1568/getInfo.php?workbook=14_06.xlsx&amp;sheet=U0&amp;row=2409&amp;col=6&amp;number=3.5&amp;sourceID=14","3.5")</f>
        <v>3.5</v>
      </c>
      <c r="G2409" s="4" t="str">
        <f>HYPERLINK("http://141.218.60.56/~jnz1568/getInfo.php?workbook=14_06.xlsx&amp;sheet=U0&amp;row=2409&amp;col=7&amp;number=0.0195&amp;sourceID=14","0.0195")</f>
        <v>0.0195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HYPERLINK("http://141.218.60.56/~jnz1568/getInfo.php?workbook=14_06.xlsx&amp;sheet=U0&amp;row=2410&amp;col=6&amp;number=3.6&amp;sourceID=14","3.6")</f>
        <v>3.6</v>
      </c>
      <c r="G2410" s="4" t="str">
        <f>HYPERLINK("http://141.218.60.56/~jnz1568/getInfo.php?workbook=14_06.xlsx&amp;sheet=U0&amp;row=2410&amp;col=7&amp;number=0.0195&amp;sourceID=14","0.0195")</f>
        <v>0.0195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HYPERLINK("http://141.218.60.56/~jnz1568/getInfo.php?workbook=14_06.xlsx&amp;sheet=U0&amp;row=2411&amp;col=6&amp;number=3.7&amp;sourceID=14","3.7")</f>
        <v>3.7</v>
      </c>
      <c r="G2411" s="4" t="str">
        <f>HYPERLINK("http://141.218.60.56/~jnz1568/getInfo.php?workbook=14_06.xlsx&amp;sheet=U0&amp;row=2411&amp;col=7&amp;number=0.0195&amp;sourceID=14","0.0195")</f>
        <v>0.0195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HYPERLINK("http://141.218.60.56/~jnz1568/getInfo.php?workbook=14_06.xlsx&amp;sheet=U0&amp;row=2412&amp;col=6&amp;number=3.8&amp;sourceID=14","3.8")</f>
        <v>3.8</v>
      </c>
      <c r="G2412" s="4" t="str">
        <f>HYPERLINK("http://141.218.60.56/~jnz1568/getInfo.php?workbook=14_06.xlsx&amp;sheet=U0&amp;row=2412&amp;col=7&amp;number=0.0195&amp;sourceID=14","0.0195")</f>
        <v>0.0195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HYPERLINK("http://141.218.60.56/~jnz1568/getInfo.php?workbook=14_06.xlsx&amp;sheet=U0&amp;row=2413&amp;col=6&amp;number=3.9&amp;sourceID=14","3.9")</f>
        <v>3.9</v>
      </c>
      <c r="G2413" s="4" t="str">
        <f>HYPERLINK("http://141.218.60.56/~jnz1568/getInfo.php?workbook=14_06.xlsx&amp;sheet=U0&amp;row=2413&amp;col=7&amp;number=0.0195&amp;sourceID=14","0.0195")</f>
        <v>0.0195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HYPERLINK("http://141.218.60.56/~jnz1568/getInfo.php?workbook=14_06.xlsx&amp;sheet=U0&amp;row=2414&amp;col=6&amp;number=4&amp;sourceID=14","4")</f>
        <v>4</v>
      </c>
      <c r="G2414" s="4" t="str">
        <f>HYPERLINK("http://141.218.60.56/~jnz1568/getInfo.php?workbook=14_06.xlsx&amp;sheet=U0&amp;row=2414&amp;col=7&amp;number=0.0195&amp;sourceID=14","0.0195")</f>
        <v>0.0195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HYPERLINK("http://141.218.60.56/~jnz1568/getInfo.php?workbook=14_06.xlsx&amp;sheet=U0&amp;row=2415&amp;col=6&amp;number=4.1&amp;sourceID=14","4.1")</f>
        <v>4.1</v>
      </c>
      <c r="G2415" s="4" t="str">
        <f>HYPERLINK("http://141.218.60.56/~jnz1568/getInfo.php?workbook=14_06.xlsx&amp;sheet=U0&amp;row=2415&amp;col=7&amp;number=0.0195&amp;sourceID=14","0.0195")</f>
        <v>0.0195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HYPERLINK("http://141.218.60.56/~jnz1568/getInfo.php?workbook=14_06.xlsx&amp;sheet=U0&amp;row=2416&amp;col=6&amp;number=4.2&amp;sourceID=14","4.2")</f>
        <v>4.2</v>
      </c>
      <c r="G2416" s="4" t="str">
        <f>HYPERLINK("http://141.218.60.56/~jnz1568/getInfo.php?workbook=14_06.xlsx&amp;sheet=U0&amp;row=2416&amp;col=7&amp;number=0.0194&amp;sourceID=14","0.0194")</f>
        <v>0.0194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HYPERLINK("http://141.218.60.56/~jnz1568/getInfo.php?workbook=14_06.xlsx&amp;sheet=U0&amp;row=2417&amp;col=6&amp;number=4.3&amp;sourceID=14","4.3")</f>
        <v>4.3</v>
      </c>
      <c r="G2417" s="4" t="str">
        <f>HYPERLINK("http://141.218.60.56/~jnz1568/getInfo.php?workbook=14_06.xlsx&amp;sheet=U0&amp;row=2417&amp;col=7&amp;number=0.0194&amp;sourceID=14","0.0194")</f>
        <v>0.0194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HYPERLINK("http://141.218.60.56/~jnz1568/getInfo.php?workbook=14_06.xlsx&amp;sheet=U0&amp;row=2418&amp;col=6&amp;number=4.4&amp;sourceID=14","4.4")</f>
        <v>4.4</v>
      </c>
      <c r="G2418" s="4" t="str">
        <f>HYPERLINK("http://141.218.60.56/~jnz1568/getInfo.php?workbook=14_06.xlsx&amp;sheet=U0&amp;row=2418&amp;col=7&amp;number=0.0194&amp;sourceID=14","0.0194")</f>
        <v>0.0194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HYPERLINK("http://141.218.60.56/~jnz1568/getInfo.php?workbook=14_06.xlsx&amp;sheet=U0&amp;row=2419&amp;col=6&amp;number=4.5&amp;sourceID=14","4.5")</f>
        <v>4.5</v>
      </c>
      <c r="G2419" s="4" t="str">
        <f>HYPERLINK("http://141.218.60.56/~jnz1568/getInfo.php?workbook=14_06.xlsx&amp;sheet=U0&amp;row=2419&amp;col=7&amp;number=0.0193&amp;sourceID=14","0.0193")</f>
        <v>0.0193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HYPERLINK("http://141.218.60.56/~jnz1568/getInfo.php?workbook=14_06.xlsx&amp;sheet=U0&amp;row=2420&amp;col=6&amp;number=4.6&amp;sourceID=14","4.6")</f>
        <v>4.6</v>
      </c>
      <c r="G2420" s="4" t="str">
        <f>HYPERLINK("http://141.218.60.56/~jnz1568/getInfo.php?workbook=14_06.xlsx&amp;sheet=U0&amp;row=2420&amp;col=7&amp;number=0.0193&amp;sourceID=14","0.0193")</f>
        <v>0.0193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HYPERLINK("http://141.218.60.56/~jnz1568/getInfo.php?workbook=14_06.xlsx&amp;sheet=U0&amp;row=2421&amp;col=6&amp;number=4.7&amp;sourceID=14","4.7")</f>
        <v>4.7</v>
      </c>
      <c r="G2421" s="4" t="str">
        <f>HYPERLINK("http://141.218.60.56/~jnz1568/getInfo.php?workbook=14_06.xlsx&amp;sheet=U0&amp;row=2421&amp;col=7&amp;number=0.0192&amp;sourceID=14","0.0192")</f>
        <v>0.0192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HYPERLINK("http://141.218.60.56/~jnz1568/getInfo.php?workbook=14_06.xlsx&amp;sheet=U0&amp;row=2422&amp;col=6&amp;number=4.8&amp;sourceID=14","4.8")</f>
        <v>4.8</v>
      </c>
      <c r="G2422" s="4" t="str">
        <f>HYPERLINK("http://141.218.60.56/~jnz1568/getInfo.php?workbook=14_06.xlsx&amp;sheet=U0&amp;row=2422&amp;col=7&amp;number=0.0191&amp;sourceID=14","0.0191")</f>
        <v>0.0191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HYPERLINK("http://141.218.60.56/~jnz1568/getInfo.php?workbook=14_06.xlsx&amp;sheet=U0&amp;row=2423&amp;col=6&amp;number=4.9&amp;sourceID=14","4.9")</f>
        <v>4.9</v>
      </c>
      <c r="G2423" s="4" t="str">
        <f>HYPERLINK("http://141.218.60.56/~jnz1568/getInfo.php?workbook=14_06.xlsx&amp;sheet=U0&amp;row=2423&amp;col=7&amp;number=0.019&amp;sourceID=14","0.019")</f>
        <v>0.019</v>
      </c>
    </row>
    <row r="2424" spans="1:7">
      <c r="A2424" s="3">
        <v>14</v>
      </c>
      <c r="B2424" s="3">
        <v>6</v>
      </c>
      <c r="C2424" s="3">
        <v>3</v>
      </c>
      <c r="D2424" s="3">
        <v>36</v>
      </c>
      <c r="E2424" s="3">
        <v>1</v>
      </c>
      <c r="F2424" s="4" t="str">
        <f>HYPERLINK("http://141.218.60.56/~jnz1568/getInfo.php?workbook=14_06.xlsx&amp;sheet=U0&amp;row=2424&amp;col=6&amp;number=3&amp;sourceID=14","3")</f>
        <v>3</v>
      </c>
      <c r="G2424" s="4" t="str">
        <f>HYPERLINK("http://141.218.60.56/~jnz1568/getInfo.php?workbook=14_06.xlsx&amp;sheet=U0&amp;row=2424&amp;col=7&amp;number=0.0313&amp;sourceID=14","0.0313")</f>
        <v>0.0313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HYPERLINK("http://141.218.60.56/~jnz1568/getInfo.php?workbook=14_06.xlsx&amp;sheet=U0&amp;row=2425&amp;col=6&amp;number=3.1&amp;sourceID=14","3.1")</f>
        <v>3.1</v>
      </c>
      <c r="G2425" s="4" t="str">
        <f>HYPERLINK("http://141.218.60.56/~jnz1568/getInfo.php?workbook=14_06.xlsx&amp;sheet=U0&amp;row=2425&amp;col=7&amp;number=0.0313&amp;sourceID=14","0.0313")</f>
        <v>0.0313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HYPERLINK("http://141.218.60.56/~jnz1568/getInfo.php?workbook=14_06.xlsx&amp;sheet=U0&amp;row=2426&amp;col=6&amp;number=3.2&amp;sourceID=14","3.2")</f>
        <v>3.2</v>
      </c>
      <c r="G2426" s="4" t="str">
        <f>HYPERLINK("http://141.218.60.56/~jnz1568/getInfo.php?workbook=14_06.xlsx&amp;sheet=U0&amp;row=2426&amp;col=7&amp;number=0.0313&amp;sourceID=14","0.0313")</f>
        <v>0.0313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HYPERLINK("http://141.218.60.56/~jnz1568/getInfo.php?workbook=14_06.xlsx&amp;sheet=U0&amp;row=2427&amp;col=6&amp;number=3.3&amp;sourceID=14","3.3")</f>
        <v>3.3</v>
      </c>
      <c r="G2427" s="4" t="str">
        <f>HYPERLINK("http://141.218.60.56/~jnz1568/getInfo.php?workbook=14_06.xlsx&amp;sheet=U0&amp;row=2427&amp;col=7&amp;number=0.0313&amp;sourceID=14","0.0313")</f>
        <v>0.0313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HYPERLINK("http://141.218.60.56/~jnz1568/getInfo.php?workbook=14_06.xlsx&amp;sheet=U0&amp;row=2428&amp;col=6&amp;number=3.4&amp;sourceID=14","3.4")</f>
        <v>3.4</v>
      </c>
      <c r="G2428" s="4" t="str">
        <f>HYPERLINK("http://141.218.60.56/~jnz1568/getInfo.php?workbook=14_06.xlsx&amp;sheet=U0&amp;row=2428&amp;col=7&amp;number=0.0313&amp;sourceID=14","0.0313")</f>
        <v>0.0313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HYPERLINK("http://141.218.60.56/~jnz1568/getInfo.php?workbook=14_06.xlsx&amp;sheet=U0&amp;row=2429&amp;col=6&amp;number=3.5&amp;sourceID=14","3.5")</f>
        <v>3.5</v>
      </c>
      <c r="G2429" s="4" t="str">
        <f>HYPERLINK("http://141.218.60.56/~jnz1568/getInfo.php?workbook=14_06.xlsx&amp;sheet=U0&amp;row=2429&amp;col=7&amp;number=0.0313&amp;sourceID=14","0.0313")</f>
        <v>0.0313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HYPERLINK("http://141.218.60.56/~jnz1568/getInfo.php?workbook=14_06.xlsx&amp;sheet=U0&amp;row=2430&amp;col=6&amp;number=3.6&amp;sourceID=14","3.6")</f>
        <v>3.6</v>
      </c>
      <c r="G2430" s="4" t="str">
        <f>HYPERLINK("http://141.218.60.56/~jnz1568/getInfo.php?workbook=14_06.xlsx&amp;sheet=U0&amp;row=2430&amp;col=7&amp;number=0.0313&amp;sourceID=14","0.0313")</f>
        <v>0.0313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HYPERLINK("http://141.218.60.56/~jnz1568/getInfo.php?workbook=14_06.xlsx&amp;sheet=U0&amp;row=2431&amp;col=6&amp;number=3.7&amp;sourceID=14","3.7")</f>
        <v>3.7</v>
      </c>
      <c r="G2431" s="4" t="str">
        <f>HYPERLINK("http://141.218.60.56/~jnz1568/getInfo.php?workbook=14_06.xlsx&amp;sheet=U0&amp;row=2431&amp;col=7&amp;number=0.0313&amp;sourceID=14","0.0313")</f>
        <v>0.0313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HYPERLINK("http://141.218.60.56/~jnz1568/getInfo.php?workbook=14_06.xlsx&amp;sheet=U0&amp;row=2432&amp;col=6&amp;number=3.8&amp;sourceID=14","3.8")</f>
        <v>3.8</v>
      </c>
      <c r="G2432" s="4" t="str">
        <f>HYPERLINK("http://141.218.60.56/~jnz1568/getInfo.php?workbook=14_06.xlsx&amp;sheet=U0&amp;row=2432&amp;col=7&amp;number=0.0313&amp;sourceID=14","0.0313")</f>
        <v>0.0313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HYPERLINK("http://141.218.60.56/~jnz1568/getInfo.php?workbook=14_06.xlsx&amp;sheet=U0&amp;row=2433&amp;col=6&amp;number=3.9&amp;sourceID=14","3.9")</f>
        <v>3.9</v>
      </c>
      <c r="G2433" s="4" t="str">
        <f>HYPERLINK("http://141.218.60.56/~jnz1568/getInfo.php?workbook=14_06.xlsx&amp;sheet=U0&amp;row=2433&amp;col=7&amp;number=0.0313&amp;sourceID=14","0.0313")</f>
        <v>0.0313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HYPERLINK("http://141.218.60.56/~jnz1568/getInfo.php?workbook=14_06.xlsx&amp;sheet=U0&amp;row=2434&amp;col=6&amp;number=4&amp;sourceID=14","4")</f>
        <v>4</v>
      </c>
      <c r="G2434" s="4" t="str">
        <f>HYPERLINK("http://141.218.60.56/~jnz1568/getInfo.php?workbook=14_06.xlsx&amp;sheet=U0&amp;row=2434&amp;col=7&amp;number=0.0312&amp;sourceID=14","0.0312")</f>
        <v>0.0312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HYPERLINK("http://141.218.60.56/~jnz1568/getInfo.php?workbook=14_06.xlsx&amp;sheet=U0&amp;row=2435&amp;col=6&amp;number=4.1&amp;sourceID=14","4.1")</f>
        <v>4.1</v>
      </c>
      <c r="G2435" s="4" t="str">
        <f>HYPERLINK("http://141.218.60.56/~jnz1568/getInfo.php?workbook=14_06.xlsx&amp;sheet=U0&amp;row=2435&amp;col=7&amp;number=0.0312&amp;sourceID=14","0.0312")</f>
        <v>0.0312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HYPERLINK("http://141.218.60.56/~jnz1568/getInfo.php?workbook=14_06.xlsx&amp;sheet=U0&amp;row=2436&amp;col=6&amp;number=4.2&amp;sourceID=14","4.2")</f>
        <v>4.2</v>
      </c>
      <c r="G2436" s="4" t="str">
        <f>HYPERLINK("http://141.218.60.56/~jnz1568/getInfo.php?workbook=14_06.xlsx&amp;sheet=U0&amp;row=2436&amp;col=7&amp;number=0.0312&amp;sourceID=14","0.0312")</f>
        <v>0.0312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HYPERLINK("http://141.218.60.56/~jnz1568/getInfo.php?workbook=14_06.xlsx&amp;sheet=U0&amp;row=2437&amp;col=6&amp;number=4.3&amp;sourceID=14","4.3")</f>
        <v>4.3</v>
      </c>
      <c r="G2437" s="4" t="str">
        <f>HYPERLINK("http://141.218.60.56/~jnz1568/getInfo.php?workbook=14_06.xlsx&amp;sheet=U0&amp;row=2437&amp;col=7&amp;number=0.0312&amp;sourceID=14","0.0312")</f>
        <v>0.0312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HYPERLINK("http://141.218.60.56/~jnz1568/getInfo.php?workbook=14_06.xlsx&amp;sheet=U0&amp;row=2438&amp;col=6&amp;number=4.4&amp;sourceID=14","4.4")</f>
        <v>4.4</v>
      </c>
      <c r="G2438" s="4" t="str">
        <f>HYPERLINK("http://141.218.60.56/~jnz1568/getInfo.php?workbook=14_06.xlsx&amp;sheet=U0&amp;row=2438&amp;col=7&amp;number=0.0311&amp;sourceID=14","0.0311")</f>
        <v>0.0311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HYPERLINK("http://141.218.60.56/~jnz1568/getInfo.php?workbook=14_06.xlsx&amp;sheet=U0&amp;row=2439&amp;col=6&amp;number=4.5&amp;sourceID=14","4.5")</f>
        <v>4.5</v>
      </c>
      <c r="G2439" s="4" t="str">
        <f>HYPERLINK("http://141.218.60.56/~jnz1568/getInfo.php?workbook=14_06.xlsx&amp;sheet=U0&amp;row=2439&amp;col=7&amp;number=0.0311&amp;sourceID=14","0.0311")</f>
        <v>0.0311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HYPERLINK("http://141.218.60.56/~jnz1568/getInfo.php?workbook=14_06.xlsx&amp;sheet=U0&amp;row=2440&amp;col=6&amp;number=4.6&amp;sourceID=14","4.6")</f>
        <v>4.6</v>
      </c>
      <c r="G2440" s="4" t="str">
        <f>HYPERLINK("http://141.218.60.56/~jnz1568/getInfo.php?workbook=14_06.xlsx&amp;sheet=U0&amp;row=2440&amp;col=7&amp;number=0.0311&amp;sourceID=14","0.0311")</f>
        <v>0.0311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HYPERLINK("http://141.218.60.56/~jnz1568/getInfo.php?workbook=14_06.xlsx&amp;sheet=U0&amp;row=2441&amp;col=6&amp;number=4.7&amp;sourceID=14","4.7")</f>
        <v>4.7</v>
      </c>
      <c r="G2441" s="4" t="str">
        <f>HYPERLINK("http://141.218.60.56/~jnz1568/getInfo.php?workbook=14_06.xlsx&amp;sheet=U0&amp;row=2441&amp;col=7&amp;number=0.031&amp;sourceID=14","0.031")</f>
        <v>0.031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HYPERLINK("http://141.218.60.56/~jnz1568/getInfo.php?workbook=14_06.xlsx&amp;sheet=U0&amp;row=2442&amp;col=6&amp;number=4.8&amp;sourceID=14","4.8")</f>
        <v>4.8</v>
      </c>
      <c r="G2442" s="4" t="str">
        <f>HYPERLINK("http://141.218.60.56/~jnz1568/getInfo.php?workbook=14_06.xlsx&amp;sheet=U0&amp;row=2442&amp;col=7&amp;number=0.0309&amp;sourceID=14","0.0309")</f>
        <v>0.0309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HYPERLINK("http://141.218.60.56/~jnz1568/getInfo.php?workbook=14_06.xlsx&amp;sheet=U0&amp;row=2443&amp;col=6&amp;number=4.9&amp;sourceID=14","4.9")</f>
        <v>4.9</v>
      </c>
      <c r="G2443" s="4" t="str">
        <f>HYPERLINK("http://141.218.60.56/~jnz1568/getInfo.php?workbook=14_06.xlsx&amp;sheet=U0&amp;row=2443&amp;col=7&amp;number=0.0308&amp;sourceID=14","0.0308")</f>
        <v>0.0308</v>
      </c>
    </row>
    <row r="2444" spans="1:7">
      <c r="A2444" s="3">
        <v>14</v>
      </c>
      <c r="B2444" s="3">
        <v>6</v>
      </c>
      <c r="C2444" s="3">
        <v>3</v>
      </c>
      <c r="D2444" s="3">
        <v>37</v>
      </c>
      <c r="E2444" s="3">
        <v>1</v>
      </c>
      <c r="F2444" s="4" t="str">
        <f>HYPERLINK("http://141.218.60.56/~jnz1568/getInfo.php?workbook=14_06.xlsx&amp;sheet=U0&amp;row=2444&amp;col=6&amp;number=3&amp;sourceID=14","3")</f>
        <v>3</v>
      </c>
      <c r="G2444" s="4" t="str">
        <f>HYPERLINK("http://141.218.60.56/~jnz1568/getInfo.php?workbook=14_06.xlsx&amp;sheet=U0&amp;row=2444&amp;col=7&amp;number=0.0418&amp;sourceID=14","0.0418")</f>
        <v>0.0418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HYPERLINK("http://141.218.60.56/~jnz1568/getInfo.php?workbook=14_06.xlsx&amp;sheet=U0&amp;row=2445&amp;col=6&amp;number=3.1&amp;sourceID=14","3.1")</f>
        <v>3.1</v>
      </c>
      <c r="G2445" s="4" t="str">
        <f>HYPERLINK("http://141.218.60.56/~jnz1568/getInfo.php?workbook=14_06.xlsx&amp;sheet=U0&amp;row=2445&amp;col=7&amp;number=0.0418&amp;sourceID=14","0.0418")</f>
        <v>0.0418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HYPERLINK("http://141.218.60.56/~jnz1568/getInfo.php?workbook=14_06.xlsx&amp;sheet=U0&amp;row=2446&amp;col=6&amp;number=3.2&amp;sourceID=14","3.2")</f>
        <v>3.2</v>
      </c>
      <c r="G2446" s="4" t="str">
        <f>HYPERLINK("http://141.218.60.56/~jnz1568/getInfo.php?workbook=14_06.xlsx&amp;sheet=U0&amp;row=2446&amp;col=7&amp;number=0.0418&amp;sourceID=14","0.0418")</f>
        <v>0.0418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HYPERLINK("http://141.218.60.56/~jnz1568/getInfo.php?workbook=14_06.xlsx&amp;sheet=U0&amp;row=2447&amp;col=6&amp;number=3.3&amp;sourceID=14","3.3")</f>
        <v>3.3</v>
      </c>
      <c r="G2447" s="4" t="str">
        <f>HYPERLINK("http://141.218.60.56/~jnz1568/getInfo.php?workbook=14_06.xlsx&amp;sheet=U0&amp;row=2447&amp;col=7&amp;number=0.0418&amp;sourceID=14","0.0418")</f>
        <v>0.0418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HYPERLINK("http://141.218.60.56/~jnz1568/getInfo.php?workbook=14_06.xlsx&amp;sheet=U0&amp;row=2448&amp;col=6&amp;number=3.4&amp;sourceID=14","3.4")</f>
        <v>3.4</v>
      </c>
      <c r="G2448" s="4" t="str">
        <f>HYPERLINK("http://141.218.60.56/~jnz1568/getInfo.php?workbook=14_06.xlsx&amp;sheet=U0&amp;row=2448&amp;col=7&amp;number=0.0418&amp;sourceID=14","0.0418")</f>
        <v>0.0418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HYPERLINK("http://141.218.60.56/~jnz1568/getInfo.php?workbook=14_06.xlsx&amp;sheet=U0&amp;row=2449&amp;col=6&amp;number=3.5&amp;sourceID=14","3.5")</f>
        <v>3.5</v>
      </c>
      <c r="G2449" s="4" t="str">
        <f>HYPERLINK("http://141.218.60.56/~jnz1568/getInfo.php?workbook=14_06.xlsx&amp;sheet=U0&amp;row=2449&amp;col=7&amp;number=0.0418&amp;sourceID=14","0.0418")</f>
        <v>0.0418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HYPERLINK("http://141.218.60.56/~jnz1568/getInfo.php?workbook=14_06.xlsx&amp;sheet=U0&amp;row=2450&amp;col=6&amp;number=3.6&amp;sourceID=14","3.6")</f>
        <v>3.6</v>
      </c>
      <c r="G2450" s="4" t="str">
        <f>HYPERLINK("http://141.218.60.56/~jnz1568/getInfo.php?workbook=14_06.xlsx&amp;sheet=U0&amp;row=2450&amp;col=7&amp;number=0.0417&amp;sourceID=14","0.0417")</f>
        <v>0.0417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HYPERLINK("http://141.218.60.56/~jnz1568/getInfo.php?workbook=14_06.xlsx&amp;sheet=U0&amp;row=2451&amp;col=6&amp;number=3.7&amp;sourceID=14","3.7")</f>
        <v>3.7</v>
      </c>
      <c r="G2451" s="4" t="str">
        <f>HYPERLINK("http://141.218.60.56/~jnz1568/getInfo.php?workbook=14_06.xlsx&amp;sheet=U0&amp;row=2451&amp;col=7&amp;number=0.0417&amp;sourceID=14","0.0417")</f>
        <v>0.0417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HYPERLINK("http://141.218.60.56/~jnz1568/getInfo.php?workbook=14_06.xlsx&amp;sheet=U0&amp;row=2452&amp;col=6&amp;number=3.8&amp;sourceID=14","3.8")</f>
        <v>3.8</v>
      </c>
      <c r="G2452" s="4" t="str">
        <f>HYPERLINK("http://141.218.60.56/~jnz1568/getInfo.php?workbook=14_06.xlsx&amp;sheet=U0&amp;row=2452&amp;col=7&amp;number=0.0417&amp;sourceID=14","0.0417")</f>
        <v>0.0417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HYPERLINK("http://141.218.60.56/~jnz1568/getInfo.php?workbook=14_06.xlsx&amp;sheet=U0&amp;row=2453&amp;col=6&amp;number=3.9&amp;sourceID=14","3.9")</f>
        <v>3.9</v>
      </c>
      <c r="G2453" s="4" t="str">
        <f>HYPERLINK("http://141.218.60.56/~jnz1568/getInfo.php?workbook=14_06.xlsx&amp;sheet=U0&amp;row=2453&amp;col=7&amp;number=0.0417&amp;sourceID=14","0.0417")</f>
        <v>0.0417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HYPERLINK("http://141.218.60.56/~jnz1568/getInfo.php?workbook=14_06.xlsx&amp;sheet=U0&amp;row=2454&amp;col=6&amp;number=4&amp;sourceID=14","4")</f>
        <v>4</v>
      </c>
      <c r="G2454" s="4" t="str">
        <f>HYPERLINK("http://141.218.60.56/~jnz1568/getInfo.php?workbook=14_06.xlsx&amp;sheet=U0&amp;row=2454&amp;col=7&amp;number=0.0416&amp;sourceID=14","0.0416")</f>
        <v>0.0416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HYPERLINK("http://141.218.60.56/~jnz1568/getInfo.php?workbook=14_06.xlsx&amp;sheet=U0&amp;row=2455&amp;col=6&amp;number=4.1&amp;sourceID=14","4.1")</f>
        <v>4.1</v>
      </c>
      <c r="G2455" s="4" t="str">
        <f>HYPERLINK("http://141.218.60.56/~jnz1568/getInfo.php?workbook=14_06.xlsx&amp;sheet=U0&amp;row=2455&amp;col=7&amp;number=0.0416&amp;sourceID=14","0.0416")</f>
        <v>0.0416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HYPERLINK("http://141.218.60.56/~jnz1568/getInfo.php?workbook=14_06.xlsx&amp;sheet=U0&amp;row=2456&amp;col=6&amp;number=4.2&amp;sourceID=14","4.2")</f>
        <v>4.2</v>
      </c>
      <c r="G2456" s="4" t="str">
        <f>HYPERLINK("http://141.218.60.56/~jnz1568/getInfo.php?workbook=14_06.xlsx&amp;sheet=U0&amp;row=2456&amp;col=7&amp;number=0.0416&amp;sourceID=14","0.0416")</f>
        <v>0.0416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HYPERLINK("http://141.218.60.56/~jnz1568/getInfo.php?workbook=14_06.xlsx&amp;sheet=U0&amp;row=2457&amp;col=6&amp;number=4.3&amp;sourceID=14","4.3")</f>
        <v>4.3</v>
      </c>
      <c r="G2457" s="4" t="str">
        <f>HYPERLINK("http://141.218.60.56/~jnz1568/getInfo.php?workbook=14_06.xlsx&amp;sheet=U0&amp;row=2457&amp;col=7&amp;number=0.0415&amp;sourceID=14","0.0415")</f>
        <v>0.0415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HYPERLINK("http://141.218.60.56/~jnz1568/getInfo.php?workbook=14_06.xlsx&amp;sheet=U0&amp;row=2458&amp;col=6&amp;number=4.4&amp;sourceID=14","4.4")</f>
        <v>4.4</v>
      </c>
      <c r="G2458" s="4" t="str">
        <f>HYPERLINK("http://141.218.60.56/~jnz1568/getInfo.php?workbook=14_06.xlsx&amp;sheet=U0&amp;row=2458&amp;col=7&amp;number=0.0414&amp;sourceID=14","0.0414")</f>
        <v>0.0414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HYPERLINK("http://141.218.60.56/~jnz1568/getInfo.php?workbook=14_06.xlsx&amp;sheet=U0&amp;row=2459&amp;col=6&amp;number=4.5&amp;sourceID=14","4.5")</f>
        <v>4.5</v>
      </c>
      <c r="G2459" s="4" t="str">
        <f>HYPERLINK("http://141.218.60.56/~jnz1568/getInfo.php?workbook=14_06.xlsx&amp;sheet=U0&amp;row=2459&amp;col=7&amp;number=0.0413&amp;sourceID=14","0.0413")</f>
        <v>0.0413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HYPERLINK("http://141.218.60.56/~jnz1568/getInfo.php?workbook=14_06.xlsx&amp;sheet=U0&amp;row=2460&amp;col=6&amp;number=4.6&amp;sourceID=14","4.6")</f>
        <v>4.6</v>
      </c>
      <c r="G2460" s="4" t="str">
        <f>HYPERLINK("http://141.218.60.56/~jnz1568/getInfo.php?workbook=14_06.xlsx&amp;sheet=U0&amp;row=2460&amp;col=7&amp;number=0.0412&amp;sourceID=14","0.0412")</f>
        <v>0.0412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HYPERLINK("http://141.218.60.56/~jnz1568/getInfo.php?workbook=14_06.xlsx&amp;sheet=U0&amp;row=2461&amp;col=6&amp;number=4.7&amp;sourceID=14","4.7")</f>
        <v>4.7</v>
      </c>
      <c r="G2461" s="4" t="str">
        <f>HYPERLINK("http://141.218.60.56/~jnz1568/getInfo.php?workbook=14_06.xlsx&amp;sheet=U0&amp;row=2461&amp;col=7&amp;number=0.041&amp;sourceID=14","0.041")</f>
        <v>0.041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HYPERLINK("http://141.218.60.56/~jnz1568/getInfo.php?workbook=14_06.xlsx&amp;sheet=U0&amp;row=2462&amp;col=6&amp;number=4.8&amp;sourceID=14","4.8")</f>
        <v>4.8</v>
      </c>
      <c r="G2462" s="4" t="str">
        <f>HYPERLINK("http://141.218.60.56/~jnz1568/getInfo.php?workbook=14_06.xlsx&amp;sheet=U0&amp;row=2462&amp;col=7&amp;number=0.0408&amp;sourceID=14","0.0408")</f>
        <v>0.0408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HYPERLINK("http://141.218.60.56/~jnz1568/getInfo.php?workbook=14_06.xlsx&amp;sheet=U0&amp;row=2463&amp;col=6&amp;number=4.9&amp;sourceID=14","4.9")</f>
        <v>4.9</v>
      </c>
      <c r="G2463" s="4" t="str">
        <f>HYPERLINK("http://141.218.60.56/~jnz1568/getInfo.php?workbook=14_06.xlsx&amp;sheet=U0&amp;row=2463&amp;col=7&amp;number=0.0406&amp;sourceID=14","0.0406")</f>
        <v>0.0406</v>
      </c>
    </row>
    <row r="2464" spans="1:7">
      <c r="A2464" s="3">
        <v>14</v>
      </c>
      <c r="B2464" s="3">
        <v>6</v>
      </c>
      <c r="C2464" s="3">
        <v>3</v>
      </c>
      <c r="D2464" s="3">
        <v>38</v>
      </c>
      <c r="E2464" s="3">
        <v>1</v>
      </c>
      <c r="F2464" s="4" t="str">
        <f>HYPERLINK("http://141.218.60.56/~jnz1568/getInfo.php?workbook=14_06.xlsx&amp;sheet=U0&amp;row=2464&amp;col=6&amp;number=3&amp;sourceID=14","3")</f>
        <v>3</v>
      </c>
      <c r="G2464" s="4" t="str">
        <f>HYPERLINK("http://141.218.60.56/~jnz1568/getInfo.php?workbook=14_06.xlsx&amp;sheet=U0&amp;row=2464&amp;col=7&amp;number=0.0461&amp;sourceID=14","0.0461")</f>
        <v>0.0461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HYPERLINK("http://141.218.60.56/~jnz1568/getInfo.php?workbook=14_06.xlsx&amp;sheet=U0&amp;row=2465&amp;col=6&amp;number=3.1&amp;sourceID=14","3.1")</f>
        <v>3.1</v>
      </c>
      <c r="G2465" s="4" t="str">
        <f>HYPERLINK("http://141.218.60.56/~jnz1568/getInfo.php?workbook=14_06.xlsx&amp;sheet=U0&amp;row=2465&amp;col=7&amp;number=0.0461&amp;sourceID=14","0.0461")</f>
        <v>0.0461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HYPERLINK("http://141.218.60.56/~jnz1568/getInfo.php?workbook=14_06.xlsx&amp;sheet=U0&amp;row=2466&amp;col=6&amp;number=3.2&amp;sourceID=14","3.2")</f>
        <v>3.2</v>
      </c>
      <c r="G2466" s="4" t="str">
        <f>HYPERLINK("http://141.218.60.56/~jnz1568/getInfo.php?workbook=14_06.xlsx&amp;sheet=U0&amp;row=2466&amp;col=7&amp;number=0.0461&amp;sourceID=14","0.0461")</f>
        <v>0.0461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HYPERLINK("http://141.218.60.56/~jnz1568/getInfo.php?workbook=14_06.xlsx&amp;sheet=U0&amp;row=2467&amp;col=6&amp;number=3.3&amp;sourceID=14","3.3")</f>
        <v>3.3</v>
      </c>
      <c r="G2467" s="4" t="str">
        <f>HYPERLINK("http://141.218.60.56/~jnz1568/getInfo.php?workbook=14_06.xlsx&amp;sheet=U0&amp;row=2467&amp;col=7&amp;number=0.0461&amp;sourceID=14","0.0461")</f>
        <v>0.0461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HYPERLINK("http://141.218.60.56/~jnz1568/getInfo.php?workbook=14_06.xlsx&amp;sheet=U0&amp;row=2468&amp;col=6&amp;number=3.4&amp;sourceID=14","3.4")</f>
        <v>3.4</v>
      </c>
      <c r="G2468" s="4" t="str">
        <f>HYPERLINK("http://141.218.60.56/~jnz1568/getInfo.php?workbook=14_06.xlsx&amp;sheet=U0&amp;row=2468&amp;col=7&amp;number=0.0461&amp;sourceID=14","0.0461")</f>
        <v>0.0461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HYPERLINK("http://141.218.60.56/~jnz1568/getInfo.php?workbook=14_06.xlsx&amp;sheet=U0&amp;row=2469&amp;col=6&amp;number=3.5&amp;sourceID=14","3.5")</f>
        <v>3.5</v>
      </c>
      <c r="G2469" s="4" t="str">
        <f>HYPERLINK("http://141.218.60.56/~jnz1568/getInfo.php?workbook=14_06.xlsx&amp;sheet=U0&amp;row=2469&amp;col=7&amp;number=0.046&amp;sourceID=14","0.046")</f>
        <v>0.046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HYPERLINK("http://141.218.60.56/~jnz1568/getInfo.php?workbook=14_06.xlsx&amp;sheet=U0&amp;row=2470&amp;col=6&amp;number=3.6&amp;sourceID=14","3.6")</f>
        <v>3.6</v>
      </c>
      <c r="G2470" s="4" t="str">
        <f>HYPERLINK("http://141.218.60.56/~jnz1568/getInfo.php?workbook=14_06.xlsx&amp;sheet=U0&amp;row=2470&amp;col=7&amp;number=0.046&amp;sourceID=14","0.046")</f>
        <v>0.046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HYPERLINK("http://141.218.60.56/~jnz1568/getInfo.php?workbook=14_06.xlsx&amp;sheet=U0&amp;row=2471&amp;col=6&amp;number=3.7&amp;sourceID=14","3.7")</f>
        <v>3.7</v>
      </c>
      <c r="G2471" s="4" t="str">
        <f>HYPERLINK("http://141.218.60.56/~jnz1568/getInfo.php?workbook=14_06.xlsx&amp;sheet=U0&amp;row=2471&amp;col=7&amp;number=0.046&amp;sourceID=14","0.046")</f>
        <v>0.046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HYPERLINK("http://141.218.60.56/~jnz1568/getInfo.php?workbook=14_06.xlsx&amp;sheet=U0&amp;row=2472&amp;col=6&amp;number=3.8&amp;sourceID=14","3.8")</f>
        <v>3.8</v>
      </c>
      <c r="G2472" s="4" t="str">
        <f>HYPERLINK("http://141.218.60.56/~jnz1568/getInfo.php?workbook=14_06.xlsx&amp;sheet=U0&amp;row=2472&amp;col=7&amp;number=0.046&amp;sourceID=14","0.046")</f>
        <v>0.046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HYPERLINK("http://141.218.60.56/~jnz1568/getInfo.php?workbook=14_06.xlsx&amp;sheet=U0&amp;row=2473&amp;col=6&amp;number=3.9&amp;sourceID=14","3.9")</f>
        <v>3.9</v>
      </c>
      <c r="G2473" s="4" t="str">
        <f>HYPERLINK("http://141.218.60.56/~jnz1568/getInfo.php?workbook=14_06.xlsx&amp;sheet=U0&amp;row=2473&amp;col=7&amp;number=0.046&amp;sourceID=14","0.046")</f>
        <v>0.046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HYPERLINK("http://141.218.60.56/~jnz1568/getInfo.php?workbook=14_06.xlsx&amp;sheet=U0&amp;row=2474&amp;col=6&amp;number=4&amp;sourceID=14","4")</f>
        <v>4</v>
      </c>
      <c r="G2474" s="4" t="str">
        <f>HYPERLINK("http://141.218.60.56/~jnz1568/getInfo.php?workbook=14_06.xlsx&amp;sheet=U0&amp;row=2474&amp;col=7&amp;number=0.0459&amp;sourceID=14","0.0459")</f>
        <v>0.0459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HYPERLINK("http://141.218.60.56/~jnz1568/getInfo.php?workbook=14_06.xlsx&amp;sheet=U0&amp;row=2475&amp;col=6&amp;number=4.1&amp;sourceID=14","4.1")</f>
        <v>4.1</v>
      </c>
      <c r="G2475" s="4" t="str">
        <f>HYPERLINK("http://141.218.60.56/~jnz1568/getInfo.php?workbook=14_06.xlsx&amp;sheet=U0&amp;row=2475&amp;col=7&amp;number=0.0459&amp;sourceID=14","0.0459")</f>
        <v>0.0459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HYPERLINK("http://141.218.60.56/~jnz1568/getInfo.php?workbook=14_06.xlsx&amp;sheet=U0&amp;row=2476&amp;col=6&amp;number=4.2&amp;sourceID=14","4.2")</f>
        <v>4.2</v>
      </c>
      <c r="G2476" s="4" t="str">
        <f>HYPERLINK("http://141.218.60.56/~jnz1568/getInfo.php?workbook=14_06.xlsx&amp;sheet=U0&amp;row=2476&amp;col=7&amp;number=0.0459&amp;sourceID=14","0.0459")</f>
        <v>0.0459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HYPERLINK("http://141.218.60.56/~jnz1568/getInfo.php?workbook=14_06.xlsx&amp;sheet=U0&amp;row=2477&amp;col=6&amp;number=4.3&amp;sourceID=14","4.3")</f>
        <v>4.3</v>
      </c>
      <c r="G2477" s="4" t="str">
        <f>HYPERLINK("http://141.218.60.56/~jnz1568/getInfo.php?workbook=14_06.xlsx&amp;sheet=U0&amp;row=2477&amp;col=7&amp;number=0.0458&amp;sourceID=14","0.0458")</f>
        <v>0.0458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HYPERLINK("http://141.218.60.56/~jnz1568/getInfo.php?workbook=14_06.xlsx&amp;sheet=U0&amp;row=2478&amp;col=6&amp;number=4.4&amp;sourceID=14","4.4")</f>
        <v>4.4</v>
      </c>
      <c r="G2478" s="4" t="str">
        <f>HYPERLINK("http://141.218.60.56/~jnz1568/getInfo.php?workbook=14_06.xlsx&amp;sheet=U0&amp;row=2478&amp;col=7&amp;number=0.0457&amp;sourceID=14","0.0457")</f>
        <v>0.0457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HYPERLINK("http://141.218.60.56/~jnz1568/getInfo.php?workbook=14_06.xlsx&amp;sheet=U0&amp;row=2479&amp;col=6&amp;number=4.5&amp;sourceID=14","4.5")</f>
        <v>4.5</v>
      </c>
      <c r="G2479" s="4" t="str">
        <f>HYPERLINK("http://141.218.60.56/~jnz1568/getInfo.php?workbook=14_06.xlsx&amp;sheet=U0&amp;row=2479&amp;col=7&amp;number=0.0456&amp;sourceID=14","0.0456")</f>
        <v>0.0456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HYPERLINK("http://141.218.60.56/~jnz1568/getInfo.php?workbook=14_06.xlsx&amp;sheet=U0&amp;row=2480&amp;col=6&amp;number=4.6&amp;sourceID=14","4.6")</f>
        <v>4.6</v>
      </c>
      <c r="G2480" s="4" t="str">
        <f>HYPERLINK("http://141.218.60.56/~jnz1568/getInfo.php?workbook=14_06.xlsx&amp;sheet=U0&amp;row=2480&amp;col=7&amp;number=0.0455&amp;sourceID=14","0.0455")</f>
        <v>0.0455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HYPERLINK("http://141.218.60.56/~jnz1568/getInfo.php?workbook=14_06.xlsx&amp;sheet=U0&amp;row=2481&amp;col=6&amp;number=4.7&amp;sourceID=14","4.7")</f>
        <v>4.7</v>
      </c>
      <c r="G2481" s="4" t="str">
        <f>HYPERLINK("http://141.218.60.56/~jnz1568/getInfo.php?workbook=14_06.xlsx&amp;sheet=U0&amp;row=2481&amp;col=7&amp;number=0.0454&amp;sourceID=14","0.0454")</f>
        <v>0.0454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HYPERLINK("http://141.218.60.56/~jnz1568/getInfo.php?workbook=14_06.xlsx&amp;sheet=U0&amp;row=2482&amp;col=6&amp;number=4.8&amp;sourceID=14","4.8")</f>
        <v>4.8</v>
      </c>
      <c r="G2482" s="4" t="str">
        <f>HYPERLINK("http://141.218.60.56/~jnz1568/getInfo.php?workbook=14_06.xlsx&amp;sheet=U0&amp;row=2482&amp;col=7&amp;number=0.0452&amp;sourceID=14","0.0452")</f>
        <v>0.0452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HYPERLINK("http://141.218.60.56/~jnz1568/getInfo.php?workbook=14_06.xlsx&amp;sheet=U0&amp;row=2483&amp;col=6&amp;number=4.9&amp;sourceID=14","4.9")</f>
        <v>4.9</v>
      </c>
      <c r="G2483" s="4" t="str">
        <f>HYPERLINK("http://141.218.60.56/~jnz1568/getInfo.php?workbook=14_06.xlsx&amp;sheet=U0&amp;row=2483&amp;col=7&amp;number=0.045&amp;sourceID=14","0.045")</f>
        <v>0.045</v>
      </c>
    </row>
    <row r="2484" spans="1:7">
      <c r="A2484" s="3">
        <v>14</v>
      </c>
      <c r="B2484" s="3">
        <v>6</v>
      </c>
      <c r="C2484" s="3">
        <v>3</v>
      </c>
      <c r="D2484" s="3">
        <v>39</v>
      </c>
      <c r="E2484" s="3">
        <v>1</v>
      </c>
      <c r="F2484" s="4" t="str">
        <f>HYPERLINK("http://141.218.60.56/~jnz1568/getInfo.php?workbook=14_06.xlsx&amp;sheet=U0&amp;row=2484&amp;col=6&amp;number=3&amp;sourceID=14","3")</f>
        <v>3</v>
      </c>
      <c r="G2484" s="4" t="str">
        <f>HYPERLINK("http://141.218.60.56/~jnz1568/getInfo.php?workbook=14_06.xlsx&amp;sheet=U0&amp;row=2484&amp;col=7&amp;number=0.0123&amp;sourceID=14","0.0123")</f>
        <v>0.0123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HYPERLINK("http://141.218.60.56/~jnz1568/getInfo.php?workbook=14_06.xlsx&amp;sheet=U0&amp;row=2485&amp;col=6&amp;number=3.1&amp;sourceID=14","3.1")</f>
        <v>3.1</v>
      </c>
      <c r="G2485" s="4" t="str">
        <f>HYPERLINK("http://141.218.60.56/~jnz1568/getInfo.php?workbook=14_06.xlsx&amp;sheet=U0&amp;row=2485&amp;col=7&amp;number=0.0123&amp;sourceID=14","0.0123")</f>
        <v>0.0123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HYPERLINK("http://141.218.60.56/~jnz1568/getInfo.php?workbook=14_06.xlsx&amp;sheet=U0&amp;row=2486&amp;col=6&amp;number=3.2&amp;sourceID=14","3.2")</f>
        <v>3.2</v>
      </c>
      <c r="G2486" s="4" t="str">
        <f>HYPERLINK("http://141.218.60.56/~jnz1568/getInfo.php?workbook=14_06.xlsx&amp;sheet=U0&amp;row=2486&amp;col=7&amp;number=0.0123&amp;sourceID=14","0.0123")</f>
        <v>0.0123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HYPERLINK("http://141.218.60.56/~jnz1568/getInfo.php?workbook=14_06.xlsx&amp;sheet=U0&amp;row=2487&amp;col=6&amp;number=3.3&amp;sourceID=14","3.3")</f>
        <v>3.3</v>
      </c>
      <c r="G2487" s="4" t="str">
        <f>HYPERLINK("http://141.218.60.56/~jnz1568/getInfo.php?workbook=14_06.xlsx&amp;sheet=U0&amp;row=2487&amp;col=7&amp;number=0.0123&amp;sourceID=14","0.0123")</f>
        <v>0.0123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HYPERLINK("http://141.218.60.56/~jnz1568/getInfo.php?workbook=14_06.xlsx&amp;sheet=U0&amp;row=2488&amp;col=6&amp;number=3.4&amp;sourceID=14","3.4")</f>
        <v>3.4</v>
      </c>
      <c r="G2488" s="4" t="str">
        <f>HYPERLINK("http://141.218.60.56/~jnz1568/getInfo.php?workbook=14_06.xlsx&amp;sheet=U0&amp;row=2488&amp;col=7&amp;number=0.0123&amp;sourceID=14","0.0123")</f>
        <v>0.0123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HYPERLINK("http://141.218.60.56/~jnz1568/getInfo.php?workbook=14_06.xlsx&amp;sheet=U0&amp;row=2489&amp;col=6&amp;number=3.5&amp;sourceID=14","3.5")</f>
        <v>3.5</v>
      </c>
      <c r="G2489" s="4" t="str">
        <f>HYPERLINK("http://141.218.60.56/~jnz1568/getInfo.php?workbook=14_06.xlsx&amp;sheet=U0&amp;row=2489&amp;col=7&amp;number=0.0123&amp;sourceID=14","0.0123")</f>
        <v>0.0123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HYPERLINK("http://141.218.60.56/~jnz1568/getInfo.php?workbook=14_06.xlsx&amp;sheet=U0&amp;row=2490&amp;col=6&amp;number=3.6&amp;sourceID=14","3.6")</f>
        <v>3.6</v>
      </c>
      <c r="G2490" s="4" t="str">
        <f>HYPERLINK("http://141.218.60.56/~jnz1568/getInfo.php?workbook=14_06.xlsx&amp;sheet=U0&amp;row=2490&amp;col=7&amp;number=0.0123&amp;sourceID=14","0.0123")</f>
        <v>0.0123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HYPERLINK("http://141.218.60.56/~jnz1568/getInfo.php?workbook=14_06.xlsx&amp;sheet=U0&amp;row=2491&amp;col=6&amp;number=3.7&amp;sourceID=14","3.7")</f>
        <v>3.7</v>
      </c>
      <c r="G2491" s="4" t="str">
        <f>HYPERLINK("http://141.218.60.56/~jnz1568/getInfo.php?workbook=14_06.xlsx&amp;sheet=U0&amp;row=2491&amp;col=7&amp;number=0.0123&amp;sourceID=14","0.0123")</f>
        <v>0.0123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HYPERLINK("http://141.218.60.56/~jnz1568/getInfo.php?workbook=14_06.xlsx&amp;sheet=U0&amp;row=2492&amp;col=6&amp;number=3.8&amp;sourceID=14","3.8")</f>
        <v>3.8</v>
      </c>
      <c r="G2492" s="4" t="str">
        <f>HYPERLINK("http://141.218.60.56/~jnz1568/getInfo.php?workbook=14_06.xlsx&amp;sheet=U0&amp;row=2492&amp;col=7&amp;number=0.0123&amp;sourceID=14","0.0123")</f>
        <v>0.0123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HYPERLINK("http://141.218.60.56/~jnz1568/getInfo.php?workbook=14_06.xlsx&amp;sheet=U0&amp;row=2493&amp;col=6&amp;number=3.9&amp;sourceID=14","3.9")</f>
        <v>3.9</v>
      </c>
      <c r="G2493" s="4" t="str">
        <f>HYPERLINK("http://141.218.60.56/~jnz1568/getInfo.php?workbook=14_06.xlsx&amp;sheet=U0&amp;row=2493&amp;col=7&amp;number=0.0123&amp;sourceID=14","0.0123")</f>
        <v>0.0123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HYPERLINK("http://141.218.60.56/~jnz1568/getInfo.php?workbook=14_06.xlsx&amp;sheet=U0&amp;row=2494&amp;col=6&amp;number=4&amp;sourceID=14","4")</f>
        <v>4</v>
      </c>
      <c r="G2494" s="4" t="str">
        <f>HYPERLINK("http://141.218.60.56/~jnz1568/getInfo.php?workbook=14_06.xlsx&amp;sheet=U0&amp;row=2494&amp;col=7&amp;number=0.0123&amp;sourceID=14","0.0123")</f>
        <v>0.0123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HYPERLINK("http://141.218.60.56/~jnz1568/getInfo.php?workbook=14_06.xlsx&amp;sheet=U0&amp;row=2495&amp;col=6&amp;number=4.1&amp;sourceID=14","4.1")</f>
        <v>4.1</v>
      </c>
      <c r="G2495" s="4" t="str">
        <f>HYPERLINK("http://141.218.60.56/~jnz1568/getInfo.php?workbook=14_06.xlsx&amp;sheet=U0&amp;row=2495&amp;col=7&amp;number=0.0123&amp;sourceID=14","0.0123")</f>
        <v>0.0123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HYPERLINK("http://141.218.60.56/~jnz1568/getInfo.php?workbook=14_06.xlsx&amp;sheet=U0&amp;row=2496&amp;col=6&amp;number=4.2&amp;sourceID=14","4.2")</f>
        <v>4.2</v>
      </c>
      <c r="G2496" s="4" t="str">
        <f>HYPERLINK("http://141.218.60.56/~jnz1568/getInfo.php?workbook=14_06.xlsx&amp;sheet=U0&amp;row=2496&amp;col=7&amp;number=0.0123&amp;sourceID=14","0.0123")</f>
        <v>0.0123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HYPERLINK("http://141.218.60.56/~jnz1568/getInfo.php?workbook=14_06.xlsx&amp;sheet=U0&amp;row=2497&amp;col=6&amp;number=4.3&amp;sourceID=14","4.3")</f>
        <v>4.3</v>
      </c>
      <c r="G2497" s="4" t="str">
        <f>HYPERLINK("http://141.218.60.56/~jnz1568/getInfo.php?workbook=14_06.xlsx&amp;sheet=U0&amp;row=2497&amp;col=7&amp;number=0.0122&amp;sourceID=14","0.0122")</f>
        <v>0.0122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HYPERLINK("http://141.218.60.56/~jnz1568/getInfo.php?workbook=14_06.xlsx&amp;sheet=U0&amp;row=2498&amp;col=6&amp;number=4.4&amp;sourceID=14","4.4")</f>
        <v>4.4</v>
      </c>
      <c r="G2498" s="4" t="str">
        <f>HYPERLINK("http://141.218.60.56/~jnz1568/getInfo.php?workbook=14_06.xlsx&amp;sheet=U0&amp;row=2498&amp;col=7&amp;number=0.0122&amp;sourceID=14","0.0122")</f>
        <v>0.0122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HYPERLINK("http://141.218.60.56/~jnz1568/getInfo.php?workbook=14_06.xlsx&amp;sheet=U0&amp;row=2499&amp;col=6&amp;number=4.5&amp;sourceID=14","4.5")</f>
        <v>4.5</v>
      </c>
      <c r="G2499" s="4" t="str">
        <f>HYPERLINK("http://141.218.60.56/~jnz1568/getInfo.php?workbook=14_06.xlsx&amp;sheet=U0&amp;row=2499&amp;col=7&amp;number=0.0122&amp;sourceID=14","0.0122")</f>
        <v>0.0122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HYPERLINK("http://141.218.60.56/~jnz1568/getInfo.php?workbook=14_06.xlsx&amp;sheet=U0&amp;row=2500&amp;col=6&amp;number=4.6&amp;sourceID=14","4.6")</f>
        <v>4.6</v>
      </c>
      <c r="G2500" s="4" t="str">
        <f>HYPERLINK("http://141.218.60.56/~jnz1568/getInfo.php?workbook=14_06.xlsx&amp;sheet=U0&amp;row=2500&amp;col=7&amp;number=0.0122&amp;sourceID=14","0.0122")</f>
        <v>0.0122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HYPERLINK("http://141.218.60.56/~jnz1568/getInfo.php?workbook=14_06.xlsx&amp;sheet=U0&amp;row=2501&amp;col=6&amp;number=4.7&amp;sourceID=14","4.7")</f>
        <v>4.7</v>
      </c>
      <c r="G2501" s="4" t="str">
        <f>HYPERLINK("http://141.218.60.56/~jnz1568/getInfo.php?workbook=14_06.xlsx&amp;sheet=U0&amp;row=2501&amp;col=7&amp;number=0.0121&amp;sourceID=14","0.0121")</f>
        <v>0.0121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HYPERLINK("http://141.218.60.56/~jnz1568/getInfo.php?workbook=14_06.xlsx&amp;sheet=U0&amp;row=2502&amp;col=6&amp;number=4.8&amp;sourceID=14","4.8")</f>
        <v>4.8</v>
      </c>
      <c r="G2502" s="4" t="str">
        <f>HYPERLINK("http://141.218.60.56/~jnz1568/getInfo.php?workbook=14_06.xlsx&amp;sheet=U0&amp;row=2502&amp;col=7&amp;number=0.0121&amp;sourceID=14","0.0121")</f>
        <v>0.0121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HYPERLINK("http://141.218.60.56/~jnz1568/getInfo.php?workbook=14_06.xlsx&amp;sheet=U0&amp;row=2503&amp;col=6&amp;number=4.9&amp;sourceID=14","4.9")</f>
        <v>4.9</v>
      </c>
      <c r="G2503" s="4" t="str">
        <f>HYPERLINK("http://141.218.60.56/~jnz1568/getInfo.php?workbook=14_06.xlsx&amp;sheet=U0&amp;row=2503&amp;col=7&amp;number=0.012&amp;sourceID=14","0.012")</f>
        <v>0.012</v>
      </c>
    </row>
    <row r="2504" spans="1:7">
      <c r="A2504" s="3">
        <v>14</v>
      </c>
      <c r="B2504" s="3">
        <v>6</v>
      </c>
      <c r="C2504" s="3">
        <v>3</v>
      </c>
      <c r="D2504" s="3">
        <v>40</v>
      </c>
      <c r="E2504" s="3">
        <v>1</v>
      </c>
      <c r="F2504" s="4" t="str">
        <f>HYPERLINK("http://141.218.60.56/~jnz1568/getInfo.php?workbook=14_06.xlsx&amp;sheet=U0&amp;row=2504&amp;col=6&amp;number=3&amp;sourceID=14","3")</f>
        <v>3</v>
      </c>
      <c r="G2504" s="4" t="str">
        <f>HYPERLINK("http://141.218.60.56/~jnz1568/getInfo.php?workbook=14_06.xlsx&amp;sheet=U0&amp;row=2504&amp;col=7&amp;number=0.0411&amp;sourceID=14","0.0411")</f>
        <v>0.0411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HYPERLINK("http://141.218.60.56/~jnz1568/getInfo.php?workbook=14_06.xlsx&amp;sheet=U0&amp;row=2505&amp;col=6&amp;number=3.1&amp;sourceID=14","3.1")</f>
        <v>3.1</v>
      </c>
      <c r="G2505" s="4" t="str">
        <f>HYPERLINK("http://141.218.60.56/~jnz1568/getInfo.php?workbook=14_06.xlsx&amp;sheet=U0&amp;row=2505&amp;col=7&amp;number=0.0411&amp;sourceID=14","0.0411")</f>
        <v>0.0411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HYPERLINK("http://141.218.60.56/~jnz1568/getInfo.php?workbook=14_06.xlsx&amp;sheet=U0&amp;row=2506&amp;col=6&amp;number=3.2&amp;sourceID=14","3.2")</f>
        <v>3.2</v>
      </c>
      <c r="G2506" s="4" t="str">
        <f>HYPERLINK("http://141.218.60.56/~jnz1568/getInfo.php?workbook=14_06.xlsx&amp;sheet=U0&amp;row=2506&amp;col=7&amp;number=0.0411&amp;sourceID=14","0.0411")</f>
        <v>0.0411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HYPERLINK("http://141.218.60.56/~jnz1568/getInfo.php?workbook=14_06.xlsx&amp;sheet=U0&amp;row=2507&amp;col=6&amp;number=3.3&amp;sourceID=14","3.3")</f>
        <v>3.3</v>
      </c>
      <c r="G2507" s="4" t="str">
        <f>HYPERLINK("http://141.218.60.56/~jnz1568/getInfo.php?workbook=14_06.xlsx&amp;sheet=U0&amp;row=2507&amp;col=7&amp;number=0.0411&amp;sourceID=14","0.0411")</f>
        <v>0.0411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HYPERLINK("http://141.218.60.56/~jnz1568/getInfo.php?workbook=14_06.xlsx&amp;sheet=U0&amp;row=2508&amp;col=6&amp;number=3.4&amp;sourceID=14","3.4")</f>
        <v>3.4</v>
      </c>
      <c r="G2508" s="4" t="str">
        <f>HYPERLINK("http://141.218.60.56/~jnz1568/getInfo.php?workbook=14_06.xlsx&amp;sheet=U0&amp;row=2508&amp;col=7&amp;number=0.0411&amp;sourceID=14","0.0411")</f>
        <v>0.0411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HYPERLINK("http://141.218.60.56/~jnz1568/getInfo.php?workbook=14_06.xlsx&amp;sheet=U0&amp;row=2509&amp;col=6&amp;number=3.5&amp;sourceID=14","3.5")</f>
        <v>3.5</v>
      </c>
      <c r="G2509" s="4" t="str">
        <f>HYPERLINK("http://141.218.60.56/~jnz1568/getInfo.php?workbook=14_06.xlsx&amp;sheet=U0&amp;row=2509&amp;col=7&amp;number=0.0411&amp;sourceID=14","0.0411")</f>
        <v>0.0411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HYPERLINK("http://141.218.60.56/~jnz1568/getInfo.php?workbook=14_06.xlsx&amp;sheet=U0&amp;row=2510&amp;col=6&amp;number=3.6&amp;sourceID=14","3.6")</f>
        <v>3.6</v>
      </c>
      <c r="G2510" s="4" t="str">
        <f>HYPERLINK("http://141.218.60.56/~jnz1568/getInfo.php?workbook=14_06.xlsx&amp;sheet=U0&amp;row=2510&amp;col=7&amp;number=0.0411&amp;sourceID=14","0.0411")</f>
        <v>0.0411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HYPERLINK("http://141.218.60.56/~jnz1568/getInfo.php?workbook=14_06.xlsx&amp;sheet=U0&amp;row=2511&amp;col=6&amp;number=3.7&amp;sourceID=14","3.7")</f>
        <v>3.7</v>
      </c>
      <c r="G2511" s="4" t="str">
        <f>HYPERLINK("http://141.218.60.56/~jnz1568/getInfo.php?workbook=14_06.xlsx&amp;sheet=U0&amp;row=2511&amp;col=7&amp;number=0.0411&amp;sourceID=14","0.0411")</f>
        <v>0.0411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HYPERLINK("http://141.218.60.56/~jnz1568/getInfo.php?workbook=14_06.xlsx&amp;sheet=U0&amp;row=2512&amp;col=6&amp;number=3.8&amp;sourceID=14","3.8")</f>
        <v>3.8</v>
      </c>
      <c r="G2512" s="4" t="str">
        <f>HYPERLINK("http://141.218.60.56/~jnz1568/getInfo.php?workbook=14_06.xlsx&amp;sheet=U0&amp;row=2512&amp;col=7&amp;number=0.0411&amp;sourceID=14","0.0411")</f>
        <v>0.0411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HYPERLINK("http://141.218.60.56/~jnz1568/getInfo.php?workbook=14_06.xlsx&amp;sheet=U0&amp;row=2513&amp;col=6&amp;number=3.9&amp;sourceID=14","3.9")</f>
        <v>3.9</v>
      </c>
      <c r="G2513" s="4" t="str">
        <f>HYPERLINK("http://141.218.60.56/~jnz1568/getInfo.php?workbook=14_06.xlsx&amp;sheet=U0&amp;row=2513&amp;col=7&amp;number=0.041&amp;sourceID=14","0.041")</f>
        <v>0.041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HYPERLINK("http://141.218.60.56/~jnz1568/getInfo.php?workbook=14_06.xlsx&amp;sheet=U0&amp;row=2514&amp;col=6&amp;number=4&amp;sourceID=14","4")</f>
        <v>4</v>
      </c>
      <c r="G2514" s="4" t="str">
        <f>HYPERLINK("http://141.218.60.56/~jnz1568/getInfo.php?workbook=14_06.xlsx&amp;sheet=U0&amp;row=2514&amp;col=7&amp;number=0.041&amp;sourceID=14","0.041")</f>
        <v>0.041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HYPERLINK("http://141.218.60.56/~jnz1568/getInfo.php?workbook=14_06.xlsx&amp;sheet=U0&amp;row=2515&amp;col=6&amp;number=4.1&amp;sourceID=14","4.1")</f>
        <v>4.1</v>
      </c>
      <c r="G2515" s="4" t="str">
        <f>HYPERLINK("http://141.218.60.56/~jnz1568/getInfo.php?workbook=14_06.xlsx&amp;sheet=U0&amp;row=2515&amp;col=7&amp;number=0.041&amp;sourceID=14","0.041")</f>
        <v>0.041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HYPERLINK("http://141.218.60.56/~jnz1568/getInfo.php?workbook=14_06.xlsx&amp;sheet=U0&amp;row=2516&amp;col=6&amp;number=4.2&amp;sourceID=14","4.2")</f>
        <v>4.2</v>
      </c>
      <c r="G2516" s="4" t="str">
        <f>HYPERLINK("http://141.218.60.56/~jnz1568/getInfo.php?workbook=14_06.xlsx&amp;sheet=U0&amp;row=2516&amp;col=7&amp;number=0.0409&amp;sourceID=14","0.0409")</f>
        <v>0.0409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HYPERLINK("http://141.218.60.56/~jnz1568/getInfo.php?workbook=14_06.xlsx&amp;sheet=U0&amp;row=2517&amp;col=6&amp;number=4.3&amp;sourceID=14","4.3")</f>
        <v>4.3</v>
      </c>
      <c r="G2517" s="4" t="str">
        <f>HYPERLINK("http://141.218.60.56/~jnz1568/getInfo.php?workbook=14_06.xlsx&amp;sheet=U0&amp;row=2517&amp;col=7&amp;number=0.0409&amp;sourceID=14","0.0409")</f>
        <v>0.0409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HYPERLINK("http://141.218.60.56/~jnz1568/getInfo.php?workbook=14_06.xlsx&amp;sheet=U0&amp;row=2518&amp;col=6&amp;number=4.4&amp;sourceID=14","4.4")</f>
        <v>4.4</v>
      </c>
      <c r="G2518" s="4" t="str">
        <f>HYPERLINK("http://141.218.60.56/~jnz1568/getInfo.php?workbook=14_06.xlsx&amp;sheet=U0&amp;row=2518&amp;col=7&amp;number=0.0408&amp;sourceID=14","0.0408")</f>
        <v>0.0408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HYPERLINK("http://141.218.60.56/~jnz1568/getInfo.php?workbook=14_06.xlsx&amp;sheet=U0&amp;row=2519&amp;col=6&amp;number=4.5&amp;sourceID=14","4.5")</f>
        <v>4.5</v>
      </c>
      <c r="G2519" s="4" t="str">
        <f>HYPERLINK("http://141.218.60.56/~jnz1568/getInfo.php?workbook=14_06.xlsx&amp;sheet=U0&amp;row=2519&amp;col=7&amp;number=0.0408&amp;sourceID=14","0.0408")</f>
        <v>0.0408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HYPERLINK("http://141.218.60.56/~jnz1568/getInfo.php?workbook=14_06.xlsx&amp;sheet=U0&amp;row=2520&amp;col=6&amp;number=4.6&amp;sourceID=14","4.6")</f>
        <v>4.6</v>
      </c>
      <c r="G2520" s="4" t="str">
        <f>HYPERLINK("http://141.218.60.56/~jnz1568/getInfo.php?workbook=14_06.xlsx&amp;sheet=U0&amp;row=2520&amp;col=7&amp;number=0.0407&amp;sourceID=14","0.0407")</f>
        <v>0.0407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HYPERLINK("http://141.218.60.56/~jnz1568/getInfo.php?workbook=14_06.xlsx&amp;sheet=U0&amp;row=2521&amp;col=6&amp;number=4.7&amp;sourceID=14","4.7")</f>
        <v>4.7</v>
      </c>
      <c r="G2521" s="4" t="str">
        <f>HYPERLINK("http://141.218.60.56/~jnz1568/getInfo.php?workbook=14_06.xlsx&amp;sheet=U0&amp;row=2521&amp;col=7&amp;number=0.0405&amp;sourceID=14","0.0405")</f>
        <v>0.0405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HYPERLINK("http://141.218.60.56/~jnz1568/getInfo.php?workbook=14_06.xlsx&amp;sheet=U0&amp;row=2522&amp;col=6&amp;number=4.8&amp;sourceID=14","4.8")</f>
        <v>4.8</v>
      </c>
      <c r="G2522" s="4" t="str">
        <f>HYPERLINK("http://141.218.60.56/~jnz1568/getInfo.php?workbook=14_06.xlsx&amp;sheet=U0&amp;row=2522&amp;col=7&amp;number=0.0404&amp;sourceID=14","0.0404")</f>
        <v>0.0404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HYPERLINK("http://141.218.60.56/~jnz1568/getInfo.php?workbook=14_06.xlsx&amp;sheet=U0&amp;row=2523&amp;col=6&amp;number=4.9&amp;sourceID=14","4.9")</f>
        <v>4.9</v>
      </c>
      <c r="G2523" s="4" t="str">
        <f>HYPERLINK("http://141.218.60.56/~jnz1568/getInfo.php?workbook=14_06.xlsx&amp;sheet=U0&amp;row=2523&amp;col=7&amp;number=0.0402&amp;sourceID=14","0.0402")</f>
        <v>0.0402</v>
      </c>
    </row>
    <row r="2524" spans="1:7">
      <c r="A2524" s="3">
        <v>14</v>
      </c>
      <c r="B2524" s="3">
        <v>6</v>
      </c>
      <c r="C2524" s="3">
        <v>3</v>
      </c>
      <c r="D2524" s="3">
        <v>41</v>
      </c>
      <c r="E2524" s="3">
        <v>1</v>
      </c>
      <c r="F2524" s="4" t="str">
        <f>HYPERLINK("http://141.218.60.56/~jnz1568/getInfo.php?workbook=14_06.xlsx&amp;sheet=U0&amp;row=2524&amp;col=6&amp;number=3&amp;sourceID=14","3")</f>
        <v>3</v>
      </c>
      <c r="G2524" s="4" t="str">
        <f>HYPERLINK("http://141.218.60.56/~jnz1568/getInfo.php?workbook=14_06.xlsx&amp;sheet=U0&amp;row=2524&amp;col=7&amp;number=0.419&amp;sourceID=14","0.419")</f>
        <v>0.419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HYPERLINK("http://141.218.60.56/~jnz1568/getInfo.php?workbook=14_06.xlsx&amp;sheet=U0&amp;row=2525&amp;col=6&amp;number=3.1&amp;sourceID=14","3.1")</f>
        <v>3.1</v>
      </c>
      <c r="G2525" s="4" t="str">
        <f>HYPERLINK("http://141.218.60.56/~jnz1568/getInfo.php?workbook=14_06.xlsx&amp;sheet=U0&amp;row=2525&amp;col=7&amp;number=0.419&amp;sourceID=14","0.419")</f>
        <v>0.419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HYPERLINK("http://141.218.60.56/~jnz1568/getInfo.php?workbook=14_06.xlsx&amp;sheet=U0&amp;row=2526&amp;col=6&amp;number=3.2&amp;sourceID=14","3.2")</f>
        <v>3.2</v>
      </c>
      <c r="G2526" s="4" t="str">
        <f>HYPERLINK("http://141.218.60.56/~jnz1568/getInfo.php?workbook=14_06.xlsx&amp;sheet=U0&amp;row=2526&amp;col=7&amp;number=0.419&amp;sourceID=14","0.419")</f>
        <v>0.419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HYPERLINK("http://141.218.60.56/~jnz1568/getInfo.php?workbook=14_06.xlsx&amp;sheet=U0&amp;row=2527&amp;col=6&amp;number=3.3&amp;sourceID=14","3.3")</f>
        <v>3.3</v>
      </c>
      <c r="G2527" s="4" t="str">
        <f>HYPERLINK("http://141.218.60.56/~jnz1568/getInfo.php?workbook=14_06.xlsx&amp;sheet=U0&amp;row=2527&amp;col=7&amp;number=0.419&amp;sourceID=14","0.419")</f>
        <v>0.419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HYPERLINK("http://141.218.60.56/~jnz1568/getInfo.php?workbook=14_06.xlsx&amp;sheet=U0&amp;row=2528&amp;col=6&amp;number=3.4&amp;sourceID=14","3.4")</f>
        <v>3.4</v>
      </c>
      <c r="G2528" s="4" t="str">
        <f>HYPERLINK("http://141.218.60.56/~jnz1568/getInfo.php?workbook=14_06.xlsx&amp;sheet=U0&amp;row=2528&amp;col=7&amp;number=0.42&amp;sourceID=14","0.42")</f>
        <v>0.42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HYPERLINK("http://141.218.60.56/~jnz1568/getInfo.php?workbook=14_06.xlsx&amp;sheet=U0&amp;row=2529&amp;col=6&amp;number=3.5&amp;sourceID=14","3.5")</f>
        <v>3.5</v>
      </c>
      <c r="G2529" s="4" t="str">
        <f>HYPERLINK("http://141.218.60.56/~jnz1568/getInfo.php?workbook=14_06.xlsx&amp;sheet=U0&amp;row=2529&amp;col=7&amp;number=0.42&amp;sourceID=14","0.42")</f>
        <v>0.42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HYPERLINK("http://141.218.60.56/~jnz1568/getInfo.php?workbook=14_06.xlsx&amp;sheet=U0&amp;row=2530&amp;col=6&amp;number=3.6&amp;sourceID=14","3.6")</f>
        <v>3.6</v>
      </c>
      <c r="G2530" s="4" t="str">
        <f>HYPERLINK("http://141.218.60.56/~jnz1568/getInfo.php?workbook=14_06.xlsx&amp;sheet=U0&amp;row=2530&amp;col=7&amp;number=0.42&amp;sourceID=14","0.42")</f>
        <v>0.42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HYPERLINK("http://141.218.60.56/~jnz1568/getInfo.php?workbook=14_06.xlsx&amp;sheet=U0&amp;row=2531&amp;col=6&amp;number=3.7&amp;sourceID=14","3.7")</f>
        <v>3.7</v>
      </c>
      <c r="G2531" s="4" t="str">
        <f>HYPERLINK("http://141.218.60.56/~jnz1568/getInfo.php?workbook=14_06.xlsx&amp;sheet=U0&amp;row=2531&amp;col=7&amp;number=0.42&amp;sourceID=14","0.42")</f>
        <v>0.42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HYPERLINK("http://141.218.60.56/~jnz1568/getInfo.php?workbook=14_06.xlsx&amp;sheet=U0&amp;row=2532&amp;col=6&amp;number=3.8&amp;sourceID=14","3.8")</f>
        <v>3.8</v>
      </c>
      <c r="G2532" s="4" t="str">
        <f>HYPERLINK("http://141.218.60.56/~jnz1568/getInfo.php?workbook=14_06.xlsx&amp;sheet=U0&amp;row=2532&amp;col=7&amp;number=0.42&amp;sourceID=14","0.42")</f>
        <v>0.42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HYPERLINK("http://141.218.60.56/~jnz1568/getInfo.php?workbook=14_06.xlsx&amp;sheet=U0&amp;row=2533&amp;col=6&amp;number=3.9&amp;sourceID=14","3.9")</f>
        <v>3.9</v>
      </c>
      <c r="G2533" s="4" t="str">
        <f>HYPERLINK("http://141.218.60.56/~jnz1568/getInfo.php?workbook=14_06.xlsx&amp;sheet=U0&amp;row=2533&amp;col=7&amp;number=0.421&amp;sourceID=14","0.421")</f>
        <v>0.421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HYPERLINK("http://141.218.60.56/~jnz1568/getInfo.php?workbook=14_06.xlsx&amp;sheet=U0&amp;row=2534&amp;col=6&amp;number=4&amp;sourceID=14","4")</f>
        <v>4</v>
      </c>
      <c r="G2534" s="4" t="str">
        <f>HYPERLINK("http://141.218.60.56/~jnz1568/getInfo.php?workbook=14_06.xlsx&amp;sheet=U0&amp;row=2534&amp;col=7&amp;number=0.421&amp;sourceID=14","0.421")</f>
        <v>0.421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HYPERLINK("http://141.218.60.56/~jnz1568/getInfo.php?workbook=14_06.xlsx&amp;sheet=U0&amp;row=2535&amp;col=6&amp;number=4.1&amp;sourceID=14","4.1")</f>
        <v>4.1</v>
      </c>
      <c r="G2535" s="4" t="str">
        <f>HYPERLINK("http://141.218.60.56/~jnz1568/getInfo.php?workbook=14_06.xlsx&amp;sheet=U0&amp;row=2535&amp;col=7&amp;number=0.421&amp;sourceID=14","0.421")</f>
        <v>0.421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HYPERLINK("http://141.218.60.56/~jnz1568/getInfo.php?workbook=14_06.xlsx&amp;sheet=U0&amp;row=2536&amp;col=6&amp;number=4.2&amp;sourceID=14","4.2")</f>
        <v>4.2</v>
      </c>
      <c r="G2536" s="4" t="str">
        <f>HYPERLINK("http://141.218.60.56/~jnz1568/getInfo.php?workbook=14_06.xlsx&amp;sheet=U0&amp;row=2536&amp;col=7&amp;number=0.422&amp;sourceID=14","0.422")</f>
        <v>0.422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HYPERLINK("http://141.218.60.56/~jnz1568/getInfo.php?workbook=14_06.xlsx&amp;sheet=U0&amp;row=2537&amp;col=6&amp;number=4.3&amp;sourceID=14","4.3")</f>
        <v>4.3</v>
      </c>
      <c r="G2537" s="4" t="str">
        <f>HYPERLINK("http://141.218.60.56/~jnz1568/getInfo.php?workbook=14_06.xlsx&amp;sheet=U0&amp;row=2537&amp;col=7&amp;number=0.423&amp;sourceID=14","0.423")</f>
        <v>0.423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HYPERLINK("http://141.218.60.56/~jnz1568/getInfo.php?workbook=14_06.xlsx&amp;sheet=U0&amp;row=2538&amp;col=6&amp;number=4.4&amp;sourceID=14","4.4")</f>
        <v>4.4</v>
      </c>
      <c r="G2538" s="4" t="str">
        <f>HYPERLINK("http://141.218.60.56/~jnz1568/getInfo.php?workbook=14_06.xlsx&amp;sheet=U0&amp;row=2538&amp;col=7&amp;number=0.424&amp;sourceID=14","0.424")</f>
        <v>0.424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HYPERLINK("http://141.218.60.56/~jnz1568/getInfo.php?workbook=14_06.xlsx&amp;sheet=U0&amp;row=2539&amp;col=6&amp;number=4.5&amp;sourceID=14","4.5")</f>
        <v>4.5</v>
      </c>
      <c r="G2539" s="4" t="str">
        <f>HYPERLINK("http://141.218.60.56/~jnz1568/getInfo.php?workbook=14_06.xlsx&amp;sheet=U0&amp;row=2539&amp;col=7&amp;number=0.425&amp;sourceID=14","0.425")</f>
        <v>0.425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HYPERLINK("http://141.218.60.56/~jnz1568/getInfo.php?workbook=14_06.xlsx&amp;sheet=U0&amp;row=2540&amp;col=6&amp;number=4.6&amp;sourceID=14","4.6")</f>
        <v>4.6</v>
      </c>
      <c r="G2540" s="4" t="str">
        <f>HYPERLINK("http://141.218.60.56/~jnz1568/getInfo.php?workbook=14_06.xlsx&amp;sheet=U0&amp;row=2540&amp;col=7&amp;number=0.426&amp;sourceID=14","0.426")</f>
        <v>0.426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HYPERLINK("http://141.218.60.56/~jnz1568/getInfo.php?workbook=14_06.xlsx&amp;sheet=U0&amp;row=2541&amp;col=6&amp;number=4.7&amp;sourceID=14","4.7")</f>
        <v>4.7</v>
      </c>
      <c r="G2541" s="4" t="str">
        <f>HYPERLINK("http://141.218.60.56/~jnz1568/getInfo.php?workbook=14_06.xlsx&amp;sheet=U0&amp;row=2541&amp;col=7&amp;number=0.428&amp;sourceID=14","0.428")</f>
        <v>0.428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HYPERLINK("http://141.218.60.56/~jnz1568/getInfo.php?workbook=14_06.xlsx&amp;sheet=U0&amp;row=2542&amp;col=6&amp;number=4.8&amp;sourceID=14","4.8")</f>
        <v>4.8</v>
      </c>
      <c r="G2542" s="4" t="str">
        <f>HYPERLINK("http://141.218.60.56/~jnz1568/getInfo.php?workbook=14_06.xlsx&amp;sheet=U0&amp;row=2542&amp;col=7&amp;number=0.431&amp;sourceID=14","0.431")</f>
        <v>0.431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HYPERLINK("http://141.218.60.56/~jnz1568/getInfo.php?workbook=14_06.xlsx&amp;sheet=U0&amp;row=2543&amp;col=6&amp;number=4.9&amp;sourceID=14","4.9")</f>
        <v>4.9</v>
      </c>
      <c r="G2543" s="4" t="str">
        <f>HYPERLINK("http://141.218.60.56/~jnz1568/getInfo.php?workbook=14_06.xlsx&amp;sheet=U0&amp;row=2543&amp;col=7&amp;number=0.433&amp;sourceID=14","0.433")</f>
        <v>0.433</v>
      </c>
    </row>
    <row r="2544" spans="1:7">
      <c r="A2544" s="3">
        <v>14</v>
      </c>
      <c r="B2544" s="3">
        <v>6</v>
      </c>
      <c r="C2544" s="3">
        <v>3</v>
      </c>
      <c r="D2544" s="3">
        <v>42</v>
      </c>
      <c r="E2544" s="3">
        <v>1</v>
      </c>
      <c r="F2544" s="4" t="str">
        <f>HYPERLINK("http://141.218.60.56/~jnz1568/getInfo.php?workbook=14_06.xlsx&amp;sheet=U0&amp;row=2544&amp;col=6&amp;number=3&amp;sourceID=14","3")</f>
        <v>3</v>
      </c>
      <c r="G2544" s="4" t="str">
        <f>HYPERLINK("http://141.218.60.56/~jnz1568/getInfo.php?workbook=14_06.xlsx&amp;sheet=U0&amp;row=2544&amp;col=7&amp;number=0.201&amp;sourceID=14","0.201")</f>
        <v>0.201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HYPERLINK("http://141.218.60.56/~jnz1568/getInfo.php?workbook=14_06.xlsx&amp;sheet=U0&amp;row=2545&amp;col=6&amp;number=3.1&amp;sourceID=14","3.1")</f>
        <v>3.1</v>
      </c>
      <c r="G2545" s="4" t="str">
        <f>HYPERLINK("http://141.218.60.56/~jnz1568/getInfo.php?workbook=14_06.xlsx&amp;sheet=U0&amp;row=2545&amp;col=7&amp;number=0.201&amp;sourceID=14","0.201")</f>
        <v>0.201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HYPERLINK("http://141.218.60.56/~jnz1568/getInfo.php?workbook=14_06.xlsx&amp;sheet=U0&amp;row=2546&amp;col=6&amp;number=3.2&amp;sourceID=14","3.2")</f>
        <v>3.2</v>
      </c>
      <c r="G2546" s="4" t="str">
        <f>HYPERLINK("http://141.218.60.56/~jnz1568/getInfo.php?workbook=14_06.xlsx&amp;sheet=U0&amp;row=2546&amp;col=7&amp;number=0.201&amp;sourceID=14","0.201")</f>
        <v>0.201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HYPERLINK("http://141.218.60.56/~jnz1568/getInfo.php?workbook=14_06.xlsx&amp;sheet=U0&amp;row=2547&amp;col=6&amp;number=3.3&amp;sourceID=14","3.3")</f>
        <v>3.3</v>
      </c>
      <c r="G2547" s="4" t="str">
        <f>HYPERLINK("http://141.218.60.56/~jnz1568/getInfo.php?workbook=14_06.xlsx&amp;sheet=U0&amp;row=2547&amp;col=7&amp;number=0.201&amp;sourceID=14","0.201")</f>
        <v>0.201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HYPERLINK("http://141.218.60.56/~jnz1568/getInfo.php?workbook=14_06.xlsx&amp;sheet=U0&amp;row=2548&amp;col=6&amp;number=3.4&amp;sourceID=14","3.4")</f>
        <v>3.4</v>
      </c>
      <c r="G2548" s="4" t="str">
        <f>HYPERLINK("http://141.218.60.56/~jnz1568/getInfo.php?workbook=14_06.xlsx&amp;sheet=U0&amp;row=2548&amp;col=7&amp;number=0.201&amp;sourceID=14","0.201")</f>
        <v>0.201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HYPERLINK("http://141.218.60.56/~jnz1568/getInfo.php?workbook=14_06.xlsx&amp;sheet=U0&amp;row=2549&amp;col=6&amp;number=3.5&amp;sourceID=14","3.5")</f>
        <v>3.5</v>
      </c>
      <c r="G2549" s="4" t="str">
        <f>HYPERLINK("http://141.218.60.56/~jnz1568/getInfo.php?workbook=14_06.xlsx&amp;sheet=U0&amp;row=2549&amp;col=7&amp;number=0.201&amp;sourceID=14","0.201")</f>
        <v>0.201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HYPERLINK("http://141.218.60.56/~jnz1568/getInfo.php?workbook=14_06.xlsx&amp;sheet=U0&amp;row=2550&amp;col=6&amp;number=3.6&amp;sourceID=14","3.6")</f>
        <v>3.6</v>
      </c>
      <c r="G2550" s="4" t="str">
        <f>HYPERLINK("http://141.218.60.56/~jnz1568/getInfo.php?workbook=14_06.xlsx&amp;sheet=U0&amp;row=2550&amp;col=7&amp;number=0.201&amp;sourceID=14","0.201")</f>
        <v>0.201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HYPERLINK("http://141.218.60.56/~jnz1568/getInfo.php?workbook=14_06.xlsx&amp;sheet=U0&amp;row=2551&amp;col=6&amp;number=3.7&amp;sourceID=14","3.7")</f>
        <v>3.7</v>
      </c>
      <c r="G2551" s="4" t="str">
        <f>HYPERLINK("http://141.218.60.56/~jnz1568/getInfo.php?workbook=14_06.xlsx&amp;sheet=U0&amp;row=2551&amp;col=7&amp;number=0.201&amp;sourceID=14","0.201")</f>
        <v>0.201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HYPERLINK("http://141.218.60.56/~jnz1568/getInfo.php?workbook=14_06.xlsx&amp;sheet=U0&amp;row=2552&amp;col=6&amp;number=3.8&amp;sourceID=14","3.8")</f>
        <v>3.8</v>
      </c>
      <c r="G2552" s="4" t="str">
        <f>HYPERLINK("http://141.218.60.56/~jnz1568/getInfo.php?workbook=14_06.xlsx&amp;sheet=U0&amp;row=2552&amp;col=7&amp;number=0.202&amp;sourceID=14","0.202")</f>
        <v>0.202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HYPERLINK("http://141.218.60.56/~jnz1568/getInfo.php?workbook=14_06.xlsx&amp;sheet=U0&amp;row=2553&amp;col=6&amp;number=3.9&amp;sourceID=14","3.9")</f>
        <v>3.9</v>
      </c>
      <c r="G2553" s="4" t="str">
        <f>HYPERLINK("http://141.218.60.56/~jnz1568/getInfo.php?workbook=14_06.xlsx&amp;sheet=U0&amp;row=2553&amp;col=7&amp;number=0.202&amp;sourceID=14","0.202")</f>
        <v>0.202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HYPERLINK("http://141.218.60.56/~jnz1568/getInfo.php?workbook=14_06.xlsx&amp;sheet=U0&amp;row=2554&amp;col=6&amp;number=4&amp;sourceID=14","4")</f>
        <v>4</v>
      </c>
      <c r="G2554" s="4" t="str">
        <f>HYPERLINK("http://141.218.60.56/~jnz1568/getInfo.php?workbook=14_06.xlsx&amp;sheet=U0&amp;row=2554&amp;col=7&amp;number=0.202&amp;sourceID=14","0.202")</f>
        <v>0.202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HYPERLINK("http://141.218.60.56/~jnz1568/getInfo.php?workbook=14_06.xlsx&amp;sheet=U0&amp;row=2555&amp;col=6&amp;number=4.1&amp;sourceID=14","4.1")</f>
        <v>4.1</v>
      </c>
      <c r="G2555" s="4" t="str">
        <f>HYPERLINK("http://141.218.60.56/~jnz1568/getInfo.php?workbook=14_06.xlsx&amp;sheet=U0&amp;row=2555&amp;col=7&amp;number=0.202&amp;sourceID=14","0.202")</f>
        <v>0.202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HYPERLINK("http://141.218.60.56/~jnz1568/getInfo.php?workbook=14_06.xlsx&amp;sheet=U0&amp;row=2556&amp;col=6&amp;number=4.2&amp;sourceID=14","4.2")</f>
        <v>4.2</v>
      </c>
      <c r="G2556" s="4" t="str">
        <f>HYPERLINK("http://141.218.60.56/~jnz1568/getInfo.php?workbook=14_06.xlsx&amp;sheet=U0&amp;row=2556&amp;col=7&amp;number=0.202&amp;sourceID=14","0.202")</f>
        <v>0.202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HYPERLINK("http://141.218.60.56/~jnz1568/getInfo.php?workbook=14_06.xlsx&amp;sheet=U0&amp;row=2557&amp;col=6&amp;number=4.3&amp;sourceID=14","4.3")</f>
        <v>4.3</v>
      </c>
      <c r="G2557" s="4" t="str">
        <f>HYPERLINK("http://141.218.60.56/~jnz1568/getInfo.php?workbook=14_06.xlsx&amp;sheet=U0&amp;row=2557&amp;col=7&amp;number=0.203&amp;sourceID=14","0.203")</f>
        <v>0.203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HYPERLINK("http://141.218.60.56/~jnz1568/getInfo.php?workbook=14_06.xlsx&amp;sheet=U0&amp;row=2558&amp;col=6&amp;number=4.4&amp;sourceID=14","4.4")</f>
        <v>4.4</v>
      </c>
      <c r="G2558" s="4" t="str">
        <f>HYPERLINK("http://141.218.60.56/~jnz1568/getInfo.php?workbook=14_06.xlsx&amp;sheet=U0&amp;row=2558&amp;col=7&amp;number=0.203&amp;sourceID=14","0.203")</f>
        <v>0.203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HYPERLINK("http://141.218.60.56/~jnz1568/getInfo.php?workbook=14_06.xlsx&amp;sheet=U0&amp;row=2559&amp;col=6&amp;number=4.5&amp;sourceID=14","4.5")</f>
        <v>4.5</v>
      </c>
      <c r="G2559" s="4" t="str">
        <f>HYPERLINK("http://141.218.60.56/~jnz1568/getInfo.php?workbook=14_06.xlsx&amp;sheet=U0&amp;row=2559&amp;col=7&amp;number=0.204&amp;sourceID=14","0.204")</f>
        <v>0.204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HYPERLINK("http://141.218.60.56/~jnz1568/getInfo.php?workbook=14_06.xlsx&amp;sheet=U0&amp;row=2560&amp;col=6&amp;number=4.6&amp;sourceID=14","4.6")</f>
        <v>4.6</v>
      </c>
      <c r="G2560" s="4" t="str">
        <f>HYPERLINK("http://141.218.60.56/~jnz1568/getInfo.php?workbook=14_06.xlsx&amp;sheet=U0&amp;row=2560&amp;col=7&amp;number=0.204&amp;sourceID=14","0.204")</f>
        <v>0.204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HYPERLINK("http://141.218.60.56/~jnz1568/getInfo.php?workbook=14_06.xlsx&amp;sheet=U0&amp;row=2561&amp;col=6&amp;number=4.7&amp;sourceID=14","4.7")</f>
        <v>4.7</v>
      </c>
      <c r="G2561" s="4" t="str">
        <f>HYPERLINK("http://141.218.60.56/~jnz1568/getInfo.php?workbook=14_06.xlsx&amp;sheet=U0&amp;row=2561&amp;col=7&amp;number=0.205&amp;sourceID=14","0.205")</f>
        <v>0.205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HYPERLINK("http://141.218.60.56/~jnz1568/getInfo.php?workbook=14_06.xlsx&amp;sheet=U0&amp;row=2562&amp;col=6&amp;number=4.8&amp;sourceID=14","4.8")</f>
        <v>4.8</v>
      </c>
      <c r="G2562" s="4" t="str">
        <f>HYPERLINK("http://141.218.60.56/~jnz1568/getInfo.php?workbook=14_06.xlsx&amp;sheet=U0&amp;row=2562&amp;col=7&amp;number=0.206&amp;sourceID=14","0.206")</f>
        <v>0.206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HYPERLINK("http://141.218.60.56/~jnz1568/getInfo.php?workbook=14_06.xlsx&amp;sheet=U0&amp;row=2563&amp;col=6&amp;number=4.9&amp;sourceID=14","4.9")</f>
        <v>4.9</v>
      </c>
      <c r="G2563" s="4" t="str">
        <f>HYPERLINK("http://141.218.60.56/~jnz1568/getInfo.php?workbook=14_06.xlsx&amp;sheet=U0&amp;row=2563&amp;col=7&amp;number=0.207&amp;sourceID=14","0.207")</f>
        <v>0.207</v>
      </c>
    </row>
    <row r="2564" spans="1:7">
      <c r="A2564" s="3">
        <v>14</v>
      </c>
      <c r="B2564" s="3">
        <v>6</v>
      </c>
      <c r="C2564" s="3">
        <v>3</v>
      </c>
      <c r="D2564" s="3">
        <v>43</v>
      </c>
      <c r="E2564" s="3">
        <v>1</v>
      </c>
      <c r="F2564" s="4" t="str">
        <f>HYPERLINK("http://141.218.60.56/~jnz1568/getInfo.php?workbook=14_06.xlsx&amp;sheet=U0&amp;row=2564&amp;col=6&amp;number=3&amp;sourceID=14","3")</f>
        <v>3</v>
      </c>
      <c r="G2564" s="4" t="str">
        <f>HYPERLINK("http://141.218.60.56/~jnz1568/getInfo.php?workbook=14_06.xlsx&amp;sheet=U0&amp;row=2564&amp;col=7&amp;number=0.0591&amp;sourceID=14","0.0591")</f>
        <v>0.0591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HYPERLINK("http://141.218.60.56/~jnz1568/getInfo.php?workbook=14_06.xlsx&amp;sheet=U0&amp;row=2565&amp;col=6&amp;number=3.1&amp;sourceID=14","3.1")</f>
        <v>3.1</v>
      </c>
      <c r="G2565" s="4" t="str">
        <f>HYPERLINK("http://141.218.60.56/~jnz1568/getInfo.php?workbook=14_06.xlsx&amp;sheet=U0&amp;row=2565&amp;col=7&amp;number=0.0591&amp;sourceID=14","0.0591")</f>
        <v>0.0591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HYPERLINK("http://141.218.60.56/~jnz1568/getInfo.php?workbook=14_06.xlsx&amp;sheet=U0&amp;row=2566&amp;col=6&amp;number=3.2&amp;sourceID=14","3.2")</f>
        <v>3.2</v>
      </c>
      <c r="G2566" s="4" t="str">
        <f>HYPERLINK("http://141.218.60.56/~jnz1568/getInfo.php?workbook=14_06.xlsx&amp;sheet=U0&amp;row=2566&amp;col=7&amp;number=0.0591&amp;sourceID=14","0.0591")</f>
        <v>0.0591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HYPERLINK("http://141.218.60.56/~jnz1568/getInfo.php?workbook=14_06.xlsx&amp;sheet=U0&amp;row=2567&amp;col=6&amp;number=3.3&amp;sourceID=14","3.3")</f>
        <v>3.3</v>
      </c>
      <c r="G2567" s="4" t="str">
        <f>HYPERLINK("http://141.218.60.56/~jnz1568/getInfo.php?workbook=14_06.xlsx&amp;sheet=U0&amp;row=2567&amp;col=7&amp;number=0.0591&amp;sourceID=14","0.0591")</f>
        <v>0.0591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HYPERLINK("http://141.218.60.56/~jnz1568/getInfo.php?workbook=14_06.xlsx&amp;sheet=U0&amp;row=2568&amp;col=6&amp;number=3.4&amp;sourceID=14","3.4")</f>
        <v>3.4</v>
      </c>
      <c r="G2568" s="4" t="str">
        <f>HYPERLINK("http://141.218.60.56/~jnz1568/getInfo.php?workbook=14_06.xlsx&amp;sheet=U0&amp;row=2568&amp;col=7&amp;number=0.0591&amp;sourceID=14","0.0591")</f>
        <v>0.0591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HYPERLINK("http://141.218.60.56/~jnz1568/getInfo.php?workbook=14_06.xlsx&amp;sheet=U0&amp;row=2569&amp;col=6&amp;number=3.5&amp;sourceID=14","3.5")</f>
        <v>3.5</v>
      </c>
      <c r="G2569" s="4" t="str">
        <f>HYPERLINK("http://141.218.60.56/~jnz1568/getInfo.php?workbook=14_06.xlsx&amp;sheet=U0&amp;row=2569&amp;col=7&amp;number=0.0592&amp;sourceID=14","0.0592")</f>
        <v>0.0592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HYPERLINK("http://141.218.60.56/~jnz1568/getInfo.php?workbook=14_06.xlsx&amp;sheet=U0&amp;row=2570&amp;col=6&amp;number=3.6&amp;sourceID=14","3.6")</f>
        <v>3.6</v>
      </c>
      <c r="G2570" s="4" t="str">
        <f>HYPERLINK("http://141.218.60.56/~jnz1568/getInfo.php?workbook=14_06.xlsx&amp;sheet=U0&amp;row=2570&amp;col=7&amp;number=0.0592&amp;sourceID=14","0.0592")</f>
        <v>0.0592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HYPERLINK("http://141.218.60.56/~jnz1568/getInfo.php?workbook=14_06.xlsx&amp;sheet=U0&amp;row=2571&amp;col=6&amp;number=3.7&amp;sourceID=14","3.7")</f>
        <v>3.7</v>
      </c>
      <c r="G2571" s="4" t="str">
        <f>HYPERLINK("http://141.218.60.56/~jnz1568/getInfo.php?workbook=14_06.xlsx&amp;sheet=U0&amp;row=2571&amp;col=7&amp;number=0.0592&amp;sourceID=14","0.0592")</f>
        <v>0.0592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HYPERLINK("http://141.218.60.56/~jnz1568/getInfo.php?workbook=14_06.xlsx&amp;sheet=U0&amp;row=2572&amp;col=6&amp;number=3.8&amp;sourceID=14","3.8")</f>
        <v>3.8</v>
      </c>
      <c r="G2572" s="4" t="str">
        <f>HYPERLINK("http://141.218.60.56/~jnz1568/getInfo.php?workbook=14_06.xlsx&amp;sheet=U0&amp;row=2572&amp;col=7&amp;number=0.0592&amp;sourceID=14","0.0592")</f>
        <v>0.0592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HYPERLINK("http://141.218.60.56/~jnz1568/getInfo.php?workbook=14_06.xlsx&amp;sheet=U0&amp;row=2573&amp;col=6&amp;number=3.9&amp;sourceID=14","3.9")</f>
        <v>3.9</v>
      </c>
      <c r="G2573" s="4" t="str">
        <f>HYPERLINK("http://141.218.60.56/~jnz1568/getInfo.php?workbook=14_06.xlsx&amp;sheet=U0&amp;row=2573&amp;col=7&amp;number=0.0592&amp;sourceID=14","0.0592")</f>
        <v>0.0592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HYPERLINK("http://141.218.60.56/~jnz1568/getInfo.php?workbook=14_06.xlsx&amp;sheet=U0&amp;row=2574&amp;col=6&amp;number=4&amp;sourceID=14","4")</f>
        <v>4</v>
      </c>
      <c r="G2574" s="4" t="str">
        <f>HYPERLINK("http://141.218.60.56/~jnz1568/getInfo.php?workbook=14_06.xlsx&amp;sheet=U0&amp;row=2574&amp;col=7&amp;number=0.0593&amp;sourceID=14","0.0593")</f>
        <v>0.0593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HYPERLINK("http://141.218.60.56/~jnz1568/getInfo.php?workbook=14_06.xlsx&amp;sheet=U0&amp;row=2575&amp;col=6&amp;number=4.1&amp;sourceID=14","4.1")</f>
        <v>4.1</v>
      </c>
      <c r="G2575" s="4" t="str">
        <f>HYPERLINK("http://141.218.60.56/~jnz1568/getInfo.php?workbook=14_06.xlsx&amp;sheet=U0&amp;row=2575&amp;col=7&amp;number=0.0593&amp;sourceID=14","0.0593")</f>
        <v>0.0593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HYPERLINK("http://141.218.60.56/~jnz1568/getInfo.php?workbook=14_06.xlsx&amp;sheet=U0&amp;row=2576&amp;col=6&amp;number=4.2&amp;sourceID=14","4.2")</f>
        <v>4.2</v>
      </c>
      <c r="G2576" s="4" t="str">
        <f>HYPERLINK("http://141.218.60.56/~jnz1568/getInfo.php?workbook=14_06.xlsx&amp;sheet=U0&amp;row=2576&amp;col=7&amp;number=0.0593&amp;sourceID=14","0.0593")</f>
        <v>0.0593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HYPERLINK("http://141.218.60.56/~jnz1568/getInfo.php?workbook=14_06.xlsx&amp;sheet=U0&amp;row=2577&amp;col=6&amp;number=4.3&amp;sourceID=14","4.3")</f>
        <v>4.3</v>
      </c>
      <c r="G2577" s="4" t="str">
        <f>HYPERLINK("http://141.218.60.56/~jnz1568/getInfo.php?workbook=14_06.xlsx&amp;sheet=U0&amp;row=2577&amp;col=7&amp;number=0.0594&amp;sourceID=14","0.0594")</f>
        <v>0.0594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HYPERLINK("http://141.218.60.56/~jnz1568/getInfo.php?workbook=14_06.xlsx&amp;sheet=U0&amp;row=2578&amp;col=6&amp;number=4.4&amp;sourceID=14","4.4")</f>
        <v>4.4</v>
      </c>
      <c r="G2578" s="4" t="str">
        <f>HYPERLINK("http://141.218.60.56/~jnz1568/getInfo.php?workbook=14_06.xlsx&amp;sheet=U0&amp;row=2578&amp;col=7&amp;number=0.0595&amp;sourceID=14","0.0595")</f>
        <v>0.0595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HYPERLINK("http://141.218.60.56/~jnz1568/getInfo.php?workbook=14_06.xlsx&amp;sheet=U0&amp;row=2579&amp;col=6&amp;number=4.5&amp;sourceID=14","4.5")</f>
        <v>4.5</v>
      </c>
      <c r="G2579" s="4" t="str">
        <f>HYPERLINK("http://141.218.60.56/~jnz1568/getInfo.php?workbook=14_06.xlsx&amp;sheet=U0&amp;row=2579&amp;col=7&amp;number=0.0596&amp;sourceID=14","0.0596")</f>
        <v>0.0596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HYPERLINK("http://141.218.60.56/~jnz1568/getInfo.php?workbook=14_06.xlsx&amp;sheet=U0&amp;row=2580&amp;col=6&amp;number=4.6&amp;sourceID=14","4.6")</f>
        <v>4.6</v>
      </c>
      <c r="G2580" s="4" t="str">
        <f>HYPERLINK("http://141.218.60.56/~jnz1568/getInfo.php?workbook=14_06.xlsx&amp;sheet=U0&amp;row=2580&amp;col=7&amp;number=0.0597&amp;sourceID=14","0.0597")</f>
        <v>0.0597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HYPERLINK("http://141.218.60.56/~jnz1568/getInfo.php?workbook=14_06.xlsx&amp;sheet=U0&amp;row=2581&amp;col=6&amp;number=4.7&amp;sourceID=14","4.7")</f>
        <v>4.7</v>
      </c>
      <c r="G2581" s="4" t="str">
        <f>HYPERLINK("http://141.218.60.56/~jnz1568/getInfo.php?workbook=14_06.xlsx&amp;sheet=U0&amp;row=2581&amp;col=7&amp;number=0.0598&amp;sourceID=14","0.0598")</f>
        <v>0.0598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HYPERLINK("http://141.218.60.56/~jnz1568/getInfo.php?workbook=14_06.xlsx&amp;sheet=U0&amp;row=2582&amp;col=6&amp;number=4.8&amp;sourceID=14","4.8")</f>
        <v>4.8</v>
      </c>
      <c r="G2582" s="4" t="str">
        <f>HYPERLINK("http://141.218.60.56/~jnz1568/getInfo.php?workbook=14_06.xlsx&amp;sheet=U0&amp;row=2582&amp;col=7&amp;number=0.06&amp;sourceID=14","0.06")</f>
        <v>0.06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HYPERLINK("http://141.218.60.56/~jnz1568/getInfo.php?workbook=14_06.xlsx&amp;sheet=U0&amp;row=2583&amp;col=6&amp;number=4.9&amp;sourceID=14","4.9")</f>
        <v>4.9</v>
      </c>
      <c r="G2583" s="4" t="str">
        <f>HYPERLINK("http://141.218.60.56/~jnz1568/getInfo.php?workbook=14_06.xlsx&amp;sheet=U0&amp;row=2583&amp;col=7&amp;number=0.0602&amp;sourceID=14","0.0602")</f>
        <v>0.0602</v>
      </c>
    </row>
    <row r="2584" spans="1:7">
      <c r="A2584" s="3">
        <v>14</v>
      </c>
      <c r="B2584" s="3">
        <v>6</v>
      </c>
      <c r="C2584" s="3">
        <v>3</v>
      </c>
      <c r="D2584" s="3">
        <v>44</v>
      </c>
      <c r="E2584" s="3">
        <v>1</v>
      </c>
      <c r="F2584" s="4" t="str">
        <f>HYPERLINK("http://141.218.60.56/~jnz1568/getInfo.php?workbook=14_06.xlsx&amp;sheet=U0&amp;row=2584&amp;col=6&amp;number=3&amp;sourceID=14","3")</f>
        <v>3</v>
      </c>
      <c r="G2584" s="4" t="str">
        <f>HYPERLINK("http://141.218.60.56/~jnz1568/getInfo.php?workbook=14_06.xlsx&amp;sheet=U0&amp;row=2584&amp;col=7&amp;number=0.00525&amp;sourceID=14","0.00525")</f>
        <v>0.00525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HYPERLINK("http://141.218.60.56/~jnz1568/getInfo.php?workbook=14_06.xlsx&amp;sheet=U0&amp;row=2585&amp;col=6&amp;number=3.1&amp;sourceID=14","3.1")</f>
        <v>3.1</v>
      </c>
      <c r="G2585" s="4" t="str">
        <f>HYPERLINK("http://141.218.60.56/~jnz1568/getInfo.php?workbook=14_06.xlsx&amp;sheet=U0&amp;row=2585&amp;col=7&amp;number=0.00525&amp;sourceID=14","0.00525")</f>
        <v>0.00525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HYPERLINK("http://141.218.60.56/~jnz1568/getInfo.php?workbook=14_06.xlsx&amp;sheet=U0&amp;row=2586&amp;col=6&amp;number=3.2&amp;sourceID=14","3.2")</f>
        <v>3.2</v>
      </c>
      <c r="G2586" s="4" t="str">
        <f>HYPERLINK("http://141.218.60.56/~jnz1568/getInfo.php?workbook=14_06.xlsx&amp;sheet=U0&amp;row=2586&amp;col=7&amp;number=0.00525&amp;sourceID=14","0.00525")</f>
        <v>0.00525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HYPERLINK("http://141.218.60.56/~jnz1568/getInfo.php?workbook=14_06.xlsx&amp;sheet=U0&amp;row=2587&amp;col=6&amp;number=3.3&amp;sourceID=14","3.3")</f>
        <v>3.3</v>
      </c>
      <c r="G2587" s="4" t="str">
        <f>HYPERLINK("http://141.218.60.56/~jnz1568/getInfo.php?workbook=14_06.xlsx&amp;sheet=U0&amp;row=2587&amp;col=7&amp;number=0.00524&amp;sourceID=14","0.00524")</f>
        <v>0.00524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HYPERLINK("http://141.218.60.56/~jnz1568/getInfo.php?workbook=14_06.xlsx&amp;sheet=U0&amp;row=2588&amp;col=6&amp;number=3.4&amp;sourceID=14","3.4")</f>
        <v>3.4</v>
      </c>
      <c r="G2588" s="4" t="str">
        <f>HYPERLINK("http://141.218.60.56/~jnz1568/getInfo.php?workbook=14_06.xlsx&amp;sheet=U0&amp;row=2588&amp;col=7&amp;number=0.00524&amp;sourceID=14","0.00524")</f>
        <v>0.00524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HYPERLINK("http://141.218.60.56/~jnz1568/getInfo.php?workbook=14_06.xlsx&amp;sheet=U0&amp;row=2589&amp;col=6&amp;number=3.5&amp;sourceID=14","3.5")</f>
        <v>3.5</v>
      </c>
      <c r="G2589" s="4" t="str">
        <f>HYPERLINK("http://141.218.60.56/~jnz1568/getInfo.php?workbook=14_06.xlsx&amp;sheet=U0&amp;row=2589&amp;col=7&amp;number=0.00524&amp;sourceID=14","0.00524")</f>
        <v>0.00524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HYPERLINK("http://141.218.60.56/~jnz1568/getInfo.php?workbook=14_06.xlsx&amp;sheet=U0&amp;row=2590&amp;col=6&amp;number=3.6&amp;sourceID=14","3.6")</f>
        <v>3.6</v>
      </c>
      <c r="G2590" s="4" t="str">
        <f>HYPERLINK("http://141.218.60.56/~jnz1568/getInfo.php?workbook=14_06.xlsx&amp;sheet=U0&amp;row=2590&amp;col=7&amp;number=0.00524&amp;sourceID=14","0.00524")</f>
        <v>0.00524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HYPERLINK("http://141.218.60.56/~jnz1568/getInfo.php?workbook=14_06.xlsx&amp;sheet=U0&amp;row=2591&amp;col=6&amp;number=3.7&amp;sourceID=14","3.7")</f>
        <v>3.7</v>
      </c>
      <c r="G2591" s="4" t="str">
        <f>HYPERLINK("http://141.218.60.56/~jnz1568/getInfo.php?workbook=14_06.xlsx&amp;sheet=U0&amp;row=2591&amp;col=7&amp;number=0.00524&amp;sourceID=14","0.00524")</f>
        <v>0.00524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HYPERLINK("http://141.218.60.56/~jnz1568/getInfo.php?workbook=14_06.xlsx&amp;sheet=U0&amp;row=2592&amp;col=6&amp;number=3.8&amp;sourceID=14","3.8")</f>
        <v>3.8</v>
      </c>
      <c r="G2592" s="4" t="str">
        <f>HYPERLINK("http://141.218.60.56/~jnz1568/getInfo.php?workbook=14_06.xlsx&amp;sheet=U0&amp;row=2592&amp;col=7&amp;number=0.00523&amp;sourceID=14","0.00523")</f>
        <v>0.00523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HYPERLINK("http://141.218.60.56/~jnz1568/getInfo.php?workbook=14_06.xlsx&amp;sheet=U0&amp;row=2593&amp;col=6&amp;number=3.9&amp;sourceID=14","3.9")</f>
        <v>3.9</v>
      </c>
      <c r="G2593" s="4" t="str">
        <f>HYPERLINK("http://141.218.60.56/~jnz1568/getInfo.php?workbook=14_06.xlsx&amp;sheet=U0&amp;row=2593&amp;col=7&amp;number=0.00523&amp;sourceID=14","0.00523")</f>
        <v>0.00523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HYPERLINK("http://141.218.60.56/~jnz1568/getInfo.php?workbook=14_06.xlsx&amp;sheet=U0&amp;row=2594&amp;col=6&amp;number=4&amp;sourceID=14","4")</f>
        <v>4</v>
      </c>
      <c r="G2594" s="4" t="str">
        <f>HYPERLINK("http://141.218.60.56/~jnz1568/getInfo.php?workbook=14_06.xlsx&amp;sheet=U0&amp;row=2594&amp;col=7&amp;number=0.00523&amp;sourceID=14","0.00523")</f>
        <v>0.00523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HYPERLINK("http://141.218.60.56/~jnz1568/getInfo.php?workbook=14_06.xlsx&amp;sheet=U0&amp;row=2595&amp;col=6&amp;number=4.1&amp;sourceID=14","4.1")</f>
        <v>4.1</v>
      </c>
      <c r="G2595" s="4" t="str">
        <f>HYPERLINK("http://141.218.60.56/~jnz1568/getInfo.php?workbook=14_06.xlsx&amp;sheet=U0&amp;row=2595&amp;col=7&amp;number=0.00522&amp;sourceID=14","0.00522")</f>
        <v>0.00522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HYPERLINK("http://141.218.60.56/~jnz1568/getInfo.php?workbook=14_06.xlsx&amp;sheet=U0&amp;row=2596&amp;col=6&amp;number=4.2&amp;sourceID=14","4.2")</f>
        <v>4.2</v>
      </c>
      <c r="G2596" s="4" t="str">
        <f>HYPERLINK("http://141.218.60.56/~jnz1568/getInfo.php?workbook=14_06.xlsx&amp;sheet=U0&amp;row=2596&amp;col=7&amp;number=0.00521&amp;sourceID=14","0.00521")</f>
        <v>0.00521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HYPERLINK("http://141.218.60.56/~jnz1568/getInfo.php?workbook=14_06.xlsx&amp;sheet=U0&amp;row=2597&amp;col=6&amp;number=4.3&amp;sourceID=14","4.3")</f>
        <v>4.3</v>
      </c>
      <c r="G2597" s="4" t="str">
        <f>HYPERLINK("http://141.218.60.56/~jnz1568/getInfo.php?workbook=14_06.xlsx&amp;sheet=U0&amp;row=2597&amp;col=7&amp;number=0.0052&amp;sourceID=14","0.0052")</f>
        <v>0.0052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HYPERLINK("http://141.218.60.56/~jnz1568/getInfo.php?workbook=14_06.xlsx&amp;sheet=U0&amp;row=2598&amp;col=6&amp;number=4.4&amp;sourceID=14","4.4")</f>
        <v>4.4</v>
      </c>
      <c r="G2598" s="4" t="str">
        <f>HYPERLINK("http://141.218.60.56/~jnz1568/getInfo.php?workbook=14_06.xlsx&amp;sheet=U0&amp;row=2598&amp;col=7&amp;number=0.00519&amp;sourceID=14","0.00519")</f>
        <v>0.00519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HYPERLINK("http://141.218.60.56/~jnz1568/getInfo.php?workbook=14_06.xlsx&amp;sheet=U0&amp;row=2599&amp;col=6&amp;number=4.5&amp;sourceID=14","4.5")</f>
        <v>4.5</v>
      </c>
      <c r="G2599" s="4" t="str">
        <f>HYPERLINK("http://141.218.60.56/~jnz1568/getInfo.php?workbook=14_06.xlsx&amp;sheet=U0&amp;row=2599&amp;col=7&amp;number=0.00518&amp;sourceID=14","0.00518")</f>
        <v>0.00518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HYPERLINK("http://141.218.60.56/~jnz1568/getInfo.php?workbook=14_06.xlsx&amp;sheet=U0&amp;row=2600&amp;col=6&amp;number=4.6&amp;sourceID=14","4.6")</f>
        <v>4.6</v>
      </c>
      <c r="G2600" s="4" t="str">
        <f>HYPERLINK("http://141.218.60.56/~jnz1568/getInfo.php?workbook=14_06.xlsx&amp;sheet=U0&amp;row=2600&amp;col=7&amp;number=0.00516&amp;sourceID=14","0.00516")</f>
        <v>0.00516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HYPERLINK("http://141.218.60.56/~jnz1568/getInfo.php?workbook=14_06.xlsx&amp;sheet=U0&amp;row=2601&amp;col=6&amp;number=4.7&amp;sourceID=14","4.7")</f>
        <v>4.7</v>
      </c>
      <c r="G2601" s="4" t="str">
        <f>HYPERLINK("http://141.218.60.56/~jnz1568/getInfo.php?workbook=14_06.xlsx&amp;sheet=U0&amp;row=2601&amp;col=7&amp;number=0.00514&amp;sourceID=14","0.00514")</f>
        <v>0.00514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HYPERLINK("http://141.218.60.56/~jnz1568/getInfo.php?workbook=14_06.xlsx&amp;sheet=U0&amp;row=2602&amp;col=6&amp;number=4.8&amp;sourceID=14","4.8")</f>
        <v>4.8</v>
      </c>
      <c r="G2602" s="4" t="str">
        <f>HYPERLINK("http://141.218.60.56/~jnz1568/getInfo.php?workbook=14_06.xlsx&amp;sheet=U0&amp;row=2602&amp;col=7&amp;number=0.00511&amp;sourceID=14","0.00511")</f>
        <v>0.00511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HYPERLINK("http://141.218.60.56/~jnz1568/getInfo.php?workbook=14_06.xlsx&amp;sheet=U0&amp;row=2603&amp;col=6&amp;number=4.9&amp;sourceID=14","4.9")</f>
        <v>4.9</v>
      </c>
      <c r="G2603" s="4" t="str">
        <f>HYPERLINK("http://141.218.60.56/~jnz1568/getInfo.php?workbook=14_06.xlsx&amp;sheet=U0&amp;row=2603&amp;col=7&amp;number=0.00507&amp;sourceID=14","0.00507")</f>
        <v>0.00507</v>
      </c>
    </row>
    <row r="2604" spans="1:7">
      <c r="A2604" s="3">
        <v>14</v>
      </c>
      <c r="B2604" s="3">
        <v>6</v>
      </c>
      <c r="C2604" s="3">
        <v>3</v>
      </c>
      <c r="D2604" s="3">
        <v>45</v>
      </c>
      <c r="E2604" s="3">
        <v>1</v>
      </c>
      <c r="F2604" s="4" t="str">
        <f>HYPERLINK("http://141.218.60.56/~jnz1568/getInfo.php?workbook=14_06.xlsx&amp;sheet=U0&amp;row=2604&amp;col=6&amp;number=3&amp;sourceID=14","3")</f>
        <v>3</v>
      </c>
      <c r="G2604" s="4" t="str">
        <f>HYPERLINK("http://141.218.60.56/~jnz1568/getInfo.php?workbook=14_06.xlsx&amp;sheet=U0&amp;row=2604&amp;col=7&amp;number=0.0191&amp;sourceID=14","0.0191")</f>
        <v>0.0191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HYPERLINK("http://141.218.60.56/~jnz1568/getInfo.php?workbook=14_06.xlsx&amp;sheet=U0&amp;row=2605&amp;col=6&amp;number=3.1&amp;sourceID=14","3.1")</f>
        <v>3.1</v>
      </c>
      <c r="G2605" s="4" t="str">
        <f>HYPERLINK("http://141.218.60.56/~jnz1568/getInfo.php?workbook=14_06.xlsx&amp;sheet=U0&amp;row=2605&amp;col=7&amp;number=0.0191&amp;sourceID=14","0.0191")</f>
        <v>0.0191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HYPERLINK("http://141.218.60.56/~jnz1568/getInfo.php?workbook=14_06.xlsx&amp;sheet=U0&amp;row=2606&amp;col=6&amp;number=3.2&amp;sourceID=14","3.2")</f>
        <v>3.2</v>
      </c>
      <c r="G2606" s="4" t="str">
        <f>HYPERLINK("http://141.218.60.56/~jnz1568/getInfo.php?workbook=14_06.xlsx&amp;sheet=U0&amp;row=2606&amp;col=7&amp;number=0.0191&amp;sourceID=14","0.0191")</f>
        <v>0.0191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HYPERLINK("http://141.218.60.56/~jnz1568/getInfo.php?workbook=14_06.xlsx&amp;sheet=U0&amp;row=2607&amp;col=6&amp;number=3.3&amp;sourceID=14","3.3")</f>
        <v>3.3</v>
      </c>
      <c r="G2607" s="4" t="str">
        <f>HYPERLINK("http://141.218.60.56/~jnz1568/getInfo.php?workbook=14_06.xlsx&amp;sheet=U0&amp;row=2607&amp;col=7&amp;number=0.0191&amp;sourceID=14","0.0191")</f>
        <v>0.0191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HYPERLINK("http://141.218.60.56/~jnz1568/getInfo.php?workbook=14_06.xlsx&amp;sheet=U0&amp;row=2608&amp;col=6&amp;number=3.4&amp;sourceID=14","3.4")</f>
        <v>3.4</v>
      </c>
      <c r="G2608" s="4" t="str">
        <f>HYPERLINK("http://141.218.60.56/~jnz1568/getInfo.php?workbook=14_06.xlsx&amp;sheet=U0&amp;row=2608&amp;col=7&amp;number=0.0191&amp;sourceID=14","0.0191")</f>
        <v>0.0191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HYPERLINK("http://141.218.60.56/~jnz1568/getInfo.php?workbook=14_06.xlsx&amp;sheet=U0&amp;row=2609&amp;col=6&amp;number=3.5&amp;sourceID=14","3.5")</f>
        <v>3.5</v>
      </c>
      <c r="G2609" s="4" t="str">
        <f>HYPERLINK("http://141.218.60.56/~jnz1568/getInfo.php?workbook=14_06.xlsx&amp;sheet=U0&amp;row=2609&amp;col=7&amp;number=0.0191&amp;sourceID=14","0.0191")</f>
        <v>0.0191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HYPERLINK("http://141.218.60.56/~jnz1568/getInfo.php?workbook=14_06.xlsx&amp;sheet=U0&amp;row=2610&amp;col=6&amp;number=3.6&amp;sourceID=14","3.6")</f>
        <v>3.6</v>
      </c>
      <c r="G2610" s="4" t="str">
        <f>HYPERLINK("http://141.218.60.56/~jnz1568/getInfo.php?workbook=14_06.xlsx&amp;sheet=U0&amp;row=2610&amp;col=7&amp;number=0.0191&amp;sourceID=14","0.0191")</f>
        <v>0.0191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HYPERLINK("http://141.218.60.56/~jnz1568/getInfo.php?workbook=14_06.xlsx&amp;sheet=U0&amp;row=2611&amp;col=6&amp;number=3.7&amp;sourceID=14","3.7")</f>
        <v>3.7</v>
      </c>
      <c r="G2611" s="4" t="str">
        <f>HYPERLINK("http://141.218.60.56/~jnz1568/getInfo.php?workbook=14_06.xlsx&amp;sheet=U0&amp;row=2611&amp;col=7&amp;number=0.0191&amp;sourceID=14","0.0191")</f>
        <v>0.0191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HYPERLINK("http://141.218.60.56/~jnz1568/getInfo.php?workbook=14_06.xlsx&amp;sheet=U0&amp;row=2612&amp;col=6&amp;number=3.8&amp;sourceID=14","3.8")</f>
        <v>3.8</v>
      </c>
      <c r="G2612" s="4" t="str">
        <f>HYPERLINK("http://141.218.60.56/~jnz1568/getInfo.php?workbook=14_06.xlsx&amp;sheet=U0&amp;row=2612&amp;col=7&amp;number=0.0191&amp;sourceID=14","0.0191")</f>
        <v>0.0191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HYPERLINK("http://141.218.60.56/~jnz1568/getInfo.php?workbook=14_06.xlsx&amp;sheet=U0&amp;row=2613&amp;col=6&amp;number=3.9&amp;sourceID=14","3.9")</f>
        <v>3.9</v>
      </c>
      <c r="G2613" s="4" t="str">
        <f>HYPERLINK("http://141.218.60.56/~jnz1568/getInfo.php?workbook=14_06.xlsx&amp;sheet=U0&amp;row=2613&amp;col=7&amp;number=0.0191&amp;sourceID=14","0.0191")</f>
        <v>0.0191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HYPERLINK("http://141.218.60.56/~jnz1568/getInfo.php?workbook=14_06.xlsx&amp;sheet=U0&amp;row=2614&amp;col=6&amp;number=4&amp;sourceID=14","4")</f>
        <v>4</v>
      </c>
      <c r="G2614" s="4" t="str">
        <f>HYPERLINK("http://141.218.60.56/~jnz1568/getInfo.php?workbook=14_06.xlsx&amp;sheet=U0&amp;row=2614&amp;col=7&amp;number=0.0191&amp;sourceID=14","0.0191")</f>
        <v>0.0191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HYPERLINK("http://141.218.60.56/~jnz1568/getInfo.php?workbook=14_06.xlsx&amp;sheet=U0&amp;row=2615&amp;col=6&amp;number=4.1&amp;sourceID=14","4.1")</f>
        <v>4.1</v>
      </c>
      <c r="G2615" s="4" t="str">
        <f>HYPERLINK("http://141.218.60.56/~jnz1568/getInfo.php?workbook=14_06.xlsx&amp;sheet=U0&amp;row=2615&amp;col=7&amp;number=0.019&amp;sourceID=14","0.019")</f>
        <v>0.019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HYPERLINK("http://141.218.60.56/~jnz1568/getInfo.php?workbook=14_06.xlsx&amp;sheet=U0&amp;row=2616&amp;col=6&amp;number=4.2&amp;sourceID=14","4.2")</f>
        <v>4.2</v>
      </c>
      <c r="G2616" s="4" t="str">
        <f>HYPERLINK("http://141.218.60.56/~jnz1568/getInfo.php?workbook=14_06.xlsx&amp;sheet=U0&amp;row=2616&amp;col=7&amp;number=0.019&amp;sourceID=14","0.019")</f>
        <v>0.019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HYPERLINK("http://141.218.60.56/~jnz1568/getInfo.php?workbook=14_06.xlsx&amp;sheet=U0&amp;row=2617&amp;col=6&amp;number=4.3&amp;sourceID=14","4.3")</f>
        <v>4.3</v>
      </c>
      <c r="G2617" s="4" t="str">
        <f>HYPERLINK("http://141.218.60.56/~jnz1568/getInfo.php?workbook=14_06.xlsx&amp;sheet=U0&amp;row=2617&amp;col=7&amp;number=0.019&amp;sourceID=14","0.019")</f>
        <v>0.019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HYPERLINK("http://141.218.60.56/~jnz1568/getInfo.php?workbook=14_06.xlsx&amp;sheet=U0&amp;row=2618&amp;col=6&amp;number=4.4&amp;sourceID=14","4.4")</f>
        <v>4.4</v>
      </c>
      <c r="G2618" s="4" t="str">
        <f>HYPERLINK("http://141.218.60.56/~jnz1568/getInfo.php?workbook=14_06.xlsx&amp;sheet=U0&amp;row=2618&amp;col=7&amp;number=0.0189&amp;sourceID=14","0.0189")</f>
        <v>0.0189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HYPERLINK("http://141.218.60.56/~jnz1568/getInfo.php?workbook=14_06.xlsx&amp;sheet=U0&amp;row=2619&amp;col=6&amp;number=4.5&amp;sourceID=14","4.5")</f>
        <v>4.5</v>
      </c>
      <c r="G2619" s="4" t="str">
        <f>HYPERLINK("http://141.218.60.56/~jnz1568/getInfo.php?workbook=14_06.xlsx&amp;sheet=U0&amp;row=2619&amp;col=7&amp;number=0.0189&amp;sourceID=14","0.0189")</f>
        <v>0.0189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HYPERLINK("http://141.218.60.56/~jnz1568/getInfo.php?workbook=14_06.xlsx&amp;sheet=U0&amp;row=2620&amp;col=6&amp;number=4.6&amp;sourceID=14","4.6")</f>
        <v>4.6</v>
      </c>
      <c r="G2620" s="4" t="str">
        <f>HYPERLINK("http://141.218.60.56/~jnz1568/getInfo.php?workbook=14_06.xlsx&amp;sheet=U0&amp;row=2620&amp;col=7&amp;number=0.0188&amp;sourceID=14","0.0188")</f>
        <v>0.0188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HYPERLINK("http://141.218.60.56/~jnz1568/getInfo.php?workbook=14_06.xlsx&amp;sheet=U0&amp;row=2621&amp;col=6&amp;number=4.7&amp;sourceID=14","4.7")</f>
        <v>4.7</v>
      </c>
      <c r="G2621" s="4" t="str">
        <f>HYPERLINK("http://141.218.60.56/~jnz1568/getInfo.php?workbook=14_06.xlsx&amp;sheet=U0&amp;row=2621&amp;col=7&amp;number=0.0187&amp;sourceID=14","0.0187")</f>
        <v>0.0187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HYPERLINK("http://141.218.60.56/~jnz1568/getInfo.php?workbook=14_06.xlsx&amp;sheet=U0&amp;row=2622&amp;col=6&amp;number=4.8&amp;sourceID=14","4.8")</f>
        <v>4.8</v>
      </c>
      <c r="G2622" s="4" t="str">
        <f>HYPERLINK("http://141.218.60.56/~jnz1568/getInfo.php?workbook=14_06.xlsx&amp;sheet=U0&amp;row=2622&amp;col=7&amp;number=0.0186&amp;sourceID=14","0.0186")</f>
        <v>0.0186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HYPERLINK("http://141.218.60.56/~jnz1568/getInfo.php?workbook=14_06.xlsx&amp;sheet=U0&amp;row=2623&amp;col=6&amp;number=4.9&amp;sourceID=14","4.9")</f>
        <v>4.9</v>
      </c>
      <c r="G2623" s="4" t="str">
        <f>HYPERLINK("http://141.218.60.56/~jnz1568/getInfo.php?workbook=14_06.xlsx&amp;sheet=U0&amp;row=2623&amp;col=7&amp;number=0.0185&amp;sourceID=14","0.0185")</f>
        <v>0.0185</v>
      </c>
    </row>
    <row r="2624" spans="1:7">
      <c r="A2624" s="3">
        <v>14</v>
      </c>
      <c r="B2624" s="3">
        <v>6</v>
      </c>
      <c r="C2624" s="3">
        <v>3</v>
      </c>
      <c r="D2624" s="3">
        <v>46</v>
      </c>
      <c r="E2624" s="3">
        <v>1</v>
      </c>
      <c r="F2624" s="4" t="str">
        <f>HYPERLINK("http://141.218.60.56/~jnz1568/getInfo.php?workbook=14_06.xlsx&amp;sheet=U0&amp;row=2624&amp;col=6&amp;number=3&amp;sourceID=14","3")</f>
        <v>3</v>
      </c>
      <c r="G2624" s="4" t="str">
        <f>HYPERLINK("http://141.218.60.56/~jnz1568/getInfo.php?workbook=14_06.xlsx&amp;sheet=U0&amp;row=2624&amp;col=7&amp;number=0.0381&amp;sourceID=14","0.0381")</f>
        <v>0.0381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HYPERLINK("http://141.218.60.56/~jnz1568/getInfo.php?workbook=14_06.xlsx&amp;sheet=U0&amp;row=2625&amp;col=6&amp;number=3.1&amp;sourceID=14","3.1")</f>
        <v>3.1</v>
      </c>
      <c r="G2625" s="4" t="str">
        <f>HYPERLINK("http://141.218.60.56/~jnz1568/getInfo.php?workbook=14_06.xlsx&amp;sheet=U0&amp;row=2625&amp;col=7&amp;number=0.038&amp;sourceID=14","0.038")</f>
        <v>0.038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HYPERLINK("http://141.218.60.56/~jnz1568/getInfo.php?workbook=14_06.xlsx&amp;sheet=U0&amp;row=2626&amp;col=6&amp;number=3.2&amp;sourceID=14","3.2")</f>
        <v>3.2</v>
      </c>
      <c r="G2626" s="4" t="str">
        <f>HYPERLINK("http://141.218.60.56/~jnz1568/getInfo.php?workbook=14_06.xlsx&amp;sheet=U0&amp;row=2626&amp;col=7&amp;number=0.038&amp;sourceID=14","0.038")</f>
        <v>0.038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HYPERLINK("http://141.218.60.56/~jnz1568/getInfo.php?workbook=14_06.xlsx&amp;sheet=U0&amp;row=2627&amp;col=6&amp;number=3.3&amp;sourceID=14","3.3")</f>
        <v>3.3</v>
      </c>
      <c r="G2627" s="4" t="str">
        <f>HYPERLINK("http://141.218.60.56/~jnz1568/getInfo.php?workbook=14_06.xlsx&amp;sheet=U0&amp;row=2627&amp;col=7&amp;number=0.038&amp;sourceID=14","0.038")</f>
        <v>0.038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HYPERLINK("http://141.218.60.56/~jnz1568/getInfo.php?workbook=14_06.xlsx&amp;sheet=U0&amp;row=2628&amp;col=6&amp;number=3.4&amp;sourceID=14","3.4")</f>
        <v>3.4</v>
      </c>
      <c r="G2628" s="4" t="str">
        <f>HYPERLINK("http://141.218.60.56/~jnz1568/getInfo.php?workbook=14_06.xlsx&amp;sheet=U0&amp;row=2628&amp;col=7&amp;number=0.038&amp;sourceID=14","0.038")</f>
        <v>0.038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HYPERLINK("http://141.218.60.56/~jnz1568/getInfo.php?workbook=14_06.xlsx&amp;sheet=U0&amp;row=2629&amp;col=6&amp;number=3.5&amp;sourceID=14","3.5")</f>
        <v>3.5</v>
      </c>
      <c r="G2629" s="4" t="str">
        <f>HYPERLINK("http://141.218.60.56/~jnz1568/getInfo.php?workbook=14_06.xlsx&amp;sheet=U0&amp;row=2629&amp;col=7&amp;number=0.038&amp;sourceID=14","0.038")</f>
        <v>0.038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HYPERLINK("http://141.218.60.56/~jnz1568/getInfo.php?workbook=14_06.xlsx&amp;sheet=U0&amp;row=2630&amp;col=6&amp;number=3.6&amp;sourceID=14","3.6")</f>
        <v>3.6</v>
      </c>
      <c r="G2630" s="4" t="str">
        <f>HYPERLINK("http://141.218.60.56/~jnz1568/getInfo.php?workbook=14_06.xlsx&amp;sheet=U0&amp;row=2630&amp;col=7&amp;number=0.038&amp;sourceID=14","0.038")</f>
        <v>0.038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HYPERLINK("http://141.218.60.56/~jnz1568/getInfo.php?workbook=14_06.xlsx&amp;sheet=U0&amp;row=2631&amp;col=6&amp;number=3.7&amp;sourceID=14","3.7")</f>
        <v>3.7</v>
      </c>
      <c r="G2631" s="4" t="str">
        <f>HYPERLINK("http://141.218.60.56/~jnz1568/getInfo.php?workbook=14_06.xlsx&amp;sheet=U0&amp;row=2631&amp;col=7&amp;number=0.038&amp;sourceID=14","0.038")</f>
        <v>0.038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HYPERLINK("http://141.218.60.56/~jnz1568/getInfo.php?workbook=14_06.xlsx&amp;sheet=U0&amp;row=2632&amp;col=6&amp;number=3.8&amp;sourceID=14","3.8")</f>
        <v>3.8</v>
      </c>
      <c r="G2632" s="4" t="str">
        <f>HYPERLINK("http://141.218.60.56/~jnz1568/getInfo.php?workbook=14_06.xlsx&amp;sheet=U0&amp;row=2632&amp;col=7&amp;number=0.038&amp;sourceID=14","0.038")</f>
        <v>0.038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HYPERLINK("http://141.218.60.56/~jnz1568/getInfo.php?workbook=14_06.xlsx&amp;sheet=U0&amp;row=2633&amp;col=6&amp;number=3.9&amp;sourceID=14","3.9")</f>
        <v>3.9</v>
      </c>
      <c r="G2633" s="4" t="str">
        <f>HYPERLINK("http://141.218.60.56/~jnz1568/getInfo.php?workbook=14_06.xlsx&amp;sheet=U0&amp;row=2633&amp;col=7&amp;number=0.0379&amp;sourceID=14","0.0379")</f>
        <v>0.0379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HYPERLINK("http://141.218.60.56/~jnz1568/getInfo.php?workbook=14_06.xlsx&amp;sheet=U0&amp;row=2634&amp;col=6&amp;number=4&amp;sourceID=14","4")</f>
        <v>4</v>
      </c>
      <c r="G2634" s="4" t="str">
        <f>HYPERLINK("http://141.218.60.56/~jnz1568/getInfo.php?workbook=14_06.xlsx&amp;sheet=U0&amp;row=2634&amp;col=7&amp;number=0.0379&amp;sourceID=14","0.0379")</f>
        <v>0.0379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HYPERLINK("http://141.218.60.56/~jnz1568/getInfo.php?workbook=14_06.xlsx&amp;sheet=U0&amp;row=2635&amp;col=6&amp;number=4.1&amp;sourceID=14","4.1")</f>
        <v>4.1</v>
      </c>
      <c r="G2635" s="4" t="str">
        <f>HYPERLINK("http://141.218.60.56/~jnz1568/getInfo.php?workbook=14_06.xlsx&amp;sheet=U0&amp;row=2635&amp;col=7&amp;number=0.0379&amp;sourceID=14","0.0379")</f>
        <v>0.0379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HYPERLINK("http://141.218.60.56/~jnz1568/getInfo.php?workbook=14_06.xlsx&amp;sheet=U0&amp;row=2636&amp;col=6&amp;number=4.2&amp;sourceID=14","4.2")</f>
        <v>4.2</v>
      </c>
      <c r="G2636" s="4" t="str">
        <f>HYPERLINK("http://141.218.60.56/~jnz1568/getInfo.php?workbook=14_06.xlsx&amp;sheet=U0&amp;row=2636&amp;col=7&amp;number=0.0378&amp;sourceID=14","0.0378")</f>
        <v>0.0378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HYPERLINK("http://141.218.60.56/~jnz1568/getInfo.php?workbook=14_06.xlsx&amp;sheet=U0&amp;row=2637&amp;col=6&amp;number=4.3&amp;sourceID=14","4.3")</f>
        <v>4.3</v>
      </c>
      <c r="G2637" s="4" t="str">
        <f>HYPERLINK("http://141.218.60.56/~jnz1568/getInfo.php?workbook=14_06.xlsx&amp;sheet=U0&amp;row=2637&amp;col=7&amp;number=0.0377&amp;sourceID=14","0.0377")</f>
        <v>0.0377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HYPERLINK("http://141.218.60.56/~jnz1568/getInfo.php?workbook=14_06.xlsx&amp;sheet=U0&amp;row=2638&amp;col=6&amp;number=4.4&amp;sourceID=14","4.4")</f>
        <v>4.4</v>
      </c>
      <c r="G2638" s="4" t="str">
        <f>HYPERLINK("http://141.218.60.56/~jnz1568/getInfo.php?workbook=14_06.xlsx&amp;sheet=U0&amp;row=2638&amp;col=7&amp;number=0.0376&amp;sourceID=14","0.0376")</f>
        <v>0.0376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HYPERLINK("http://141.218.60.56/~jnz1568/getInfo.php?workbook=14_06.xlsx&amp;sheet=U0&amp;row=2639&amp;col=6&amp;number=4.5&amp;sourceID=14","4.5")</f>
        <v>4.5</v>
      </c>
      <c r="G2639" s="4" t="str">
        <f>HYPERLINK("http://141.218.60.56/~jnz1568/getInfo.php?workbook=14_06.xlsx&amp;sheet=U0&amp;row=2639&amp;col=7&amp;number=0.0375&amp;sourceID=14","0.0375")</f>
        <v>0.0375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HYPERLINK("http://141.218.60.56/~jnz1568/getInfo.php?workbook=14_06.xlsx&amp;sheet=U0&amp;row=2640&amp;col=6&amp;number=4.6&amp;sourceID=14","4.6")</f>
        <v>4.6</v>
      </c>
      <c r="G2640" s="4" t="str">
        <f>HYPERLINK("http://141.218.60.56/~jnz1568/getInfo.php?workbook=14_06.xlsx&amp;sheet=U0&amp;row=2640&amp;col=7&amp;number=0.0374&amp;sourceID=14","0.0374")</f>
        <v>0.0374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HYPERLINK("http://141.218.60.56/~jnz1568/getInfo.php?workbook=14_06.xlsx&amp;sheet=U0&amp;row=2641&amp;col=6&amp;number=4.7&amp;sourceID=14","4.7")</f>
        <v>4.7</v>
      </c>
      <c r="G2641" s="4" t="str">
        <f>HYPERLINK("http://141.218.60.56/~jnz1568/getInfo.php?workbook=14_06.xlsx&amp;sheet=U0&amp;row=2641&amp;col=7&amp;number=0.0372&amp;sourceID=14","0.0372")</f>
        <v>0.0372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HYPERLINK("http://141.218.60.56/~jnz1568/getInfo.php?workbook=14_06.xlsx&amp;sheet=U0&amp;row=2642&amp;col=6&amp;number=4.8&amp;sourceID=14","4.8")</f>
        <v>4.8</v>
      </c>
      <c r="G2642" s="4" t="str">
        <f>HYPERLINK("http://141.218.60.56/~jnz1568/getInfo.php?workbook=14_06.xlsx&amp;sheet=U0&amp;row=2642&amp;col=7&amp;number=0.037&amp;sourceID=14","0.037")</f>
        <v>0.037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HYPERLINK("http://141.218.60.56/~jnz1568/getInfo.php?workbook=14_06.xlsx&amp;sheet=U0&amp;row=2643&amp;col=6&amp;number=4.9&amp;sourceID=14","4.9")</f>
        <v>4.9</v>
      </c>
      <c r="G2643" s="4" t="str">
        <f>HYPERLINK("http://141.218.60.56/~jnz1568/getInfo.php?workbook=14_06.xlsx&amp;sheet=U0&amp;row=2643&amp;col=7&amp;number=0.0367&amp;sourceID=14","0.0367")</f>
        <v>0.0367</v>
      </c>
    </row>
    <row r="2644" spans="1:7">
      <c r="A2644" s="3">
        <v>14</v>
      </c>
      <c r="B2644" s="3">
        <v>6</v>
      </c>
      <c r="C2644" s="3">
        <v>4</v>
      </c>
      <c r="D2644" s="3">
        <v>5</v>
      </c>
      <c r="E2644" s="3">
        <v>1</v>
      </c>
      <c r="F2644" s="4" t="str">
        <f>HYPERLINK("http://141.218.60.56/~jnz1568/getInfo.php?workbook=14_06.xlsx&amp;sheet=U0&amp;row=2644&amp;col=6&amp;number=3&amp;sourceID=14","3")</f>
        <v>3</v>
      </c>
      <c r="G2644" s="4" t="str">
        <f>HYPERLINK("http://141.218.60.56/~jnz1568/getInfo.php?workbook=14_06.xlsx&amp;sheet=U0&amp;row=2644&amp;col=7&amp;number=0.273&amp;sourceID=14","0.273")</f>
        <v>0.273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HYPERLINK("http://141.218.60.56/~jnz1568/getInfo.php?workbook=14_06.xlsx&amp;sheet=U0&amp;row=2645&amp;col=6&amp;number=3.1&amp;sourceID=14","3.1")</f>
        <v>3.1</v>
      </c>
      <c r="G2645" s="4" t="str">
        <f>HYPERLINK("http://141.218.60.56/~jnz1568/getInfo.php?workbook=14_06.xlsx&amp;sheet=U0&amp;row=2645&amp;col=7&amp;number=0.273&amp;sourceID=14","0.273")</f>
        <v>0.273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HYPERLINK("http://141.218.60.56/~jnz1568/getInfo.php?workbook=14_06.xlsx&amp;sheet=U0&amp;row=2646&amp;col=6&amp;number=3.2&amp;sourceID=14","3.2")</f>
        <v>3.2</v>
      </c>
      <c r="G2646" s="4" t="str">
        <f>HYPERLINK("http://141.218.60.56/~jnz1568/getInfo.php?workbook=14_06.xlsx&amp;sheet=U0&amp;row=2646&amp;col=7&amp;number=0.273&amp;sourceID=14","0.273")</f>
        <v>0.273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HYPERLINK("http://141.218.60.56/~jnz1568/getInfo.php?workbook=14_06.xlsx&amp;sheet=U0&amp;row=2647&amp;col=6&amp;number=3.3&amp;sourceID=14","3.3")</f>
        <v>3.3</v>
      </c>
      <c r="G2647" s="4" t="str">
        <f>HYPERLINK("http://141.218.60.56/~jnz1568/getInfo.php?workbook=14_06.xlsx&amp;sheet=U0&amp;row=2647&amp;col=7&amp;number=0.273&amp;sourceID=14","0.273")</f>
        <v>0.273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HYPERLINK("http://141.218.60.56/~jnz1568/getInfo.php?workbook=14_06.xlsx&amp;sheet=U0&amp;row=2648&amp;col=6&amp;number=3.4&amp;sourceID=14","3.4")</f>
        <v>3.4</v>
      </c>
      <c r="G2648" s="4" t="str">
        <f>HYPERLINK("http://141.218.60.56/~jnz1568/getInfo.php?workbook=14_06.xlsx&amp;sheet=U0&amp;row=2648&amp;col=7&amp;number=0.273&amp;sourceID=14","0.273")</f>
        <v>0.273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HYPERLINK("http://141.218.60.56/~jnz1568/getInfo.php?workbook=14_06.xlsx&amp;sheet=U0&amp;row=2649&amp;col=6&amp;number=3.5&amp;sourceID=14","3.5")</f>
        <v>3.5</v>
      </c>
      <c r="G2649" s="4" t="str">
        <f>HYPERLINK("http://141.218.60.56/~jnz1568/getInfo.php?workbook=14_06.xlsx&amp;sheet=U0&amp;row=2649&amp;col=7&amp;number=0.273&amp;sourceID=14","0.273")</f>
        <v>0.273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HYPERLINK("http://141.218.60.56/~jnz1568/getInfo.php?workbook=14_06.xlsx&amp;sheet=U0&amp;row=2650&amp;col=6&amp;number=3.6&amp;sourceID=14","3.6")</f>
        <v>3.6</v>
      </c>
      <c r="G2650" s="4" t="str">
        <f>HYPERLINK("http://141.218.60.56/~jnz1568/getInfo.php?workbook=14_06.xlsx&amp;sheet=U0&amp;row=2650&amp;col=7&amp;number=0.273&amp;sourceID=14","0.273")</f>
        <v>0.273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HYPERLINK("http://141.218.60.56/~jnz1568/getInfo.php?workbook=14_06.xlsx&amp;sheet=U0&amp;row=2651&amp;col=6&amp;number=3.7&amp;sourceID=14","3.7")</f>
        <v>3.7</v>
      </c>
      <c r="G2651" s="4" t="str">
        <f>HYPERLINK("http://141.218.60.56/~jnz1568/getInfo.php?workbook=14_06.xlsx&amp;sheet=U0&amp;row=2651&amp;col=7&amp;number=0.273&amp;sourceID=14","0.273")</f>
        <v>0.273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HYPERLINK("http://141.218.60.56/~jnz1568/getInfo.php?workbook=14_06.xlsx&amp;sheet=U0&amp;row=2652&amp;col=6&amp;number=3.8&amp;sourceID=14","3.8")</f>
        <v>3.8</v>
      </c>
      <c r="G2652" s="4" t="str">
        <f>HYPERLINK("http://141.218.60.56/~jnz1568/getInfo.php?workbook=14_06.xlsx&amp;sheet=U0&amp;row=2652&amp;col=7&amp;number=0.272&amp;sourceID=14","0.272")</f>
        <v>0.272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HYPERLINK("http://141.218.60.56/~jnz1568/getInfo.php?workbook=14_06.xlsx&amp;sheet=U0&amp;row=2653&amp;col=6&amp;number=3.9&amp;sourceID=14","3.9")</f>
        <v>3.9</v>
      </c>
      <c r="G2653" s="4" t="str">
        <f>HYPERLINK("http://141.218.60.56/~jnz1568/getInfo.php?workbook=14_06.xlsx&amp;sheet=U0&amp;row=2653&amp;col=7&amp;number=0.272&amp;sourceID=14","0.272")</f>
        <v>0.272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HYPERLINK("http://141.218.60.56/~jnz1568/getInfo.php?workbook=14_06.xlsx&amp;sheet=U0&amp;row=2654&amp;col=6&amp;number=4&amp;sourceID=14","4")</f>
        <v>4</v>
      </c>
      <c r="G2654" s="4" t="str">
        <f>HYPERLINK("http://141.218.60.56/~jnz1568/getInfo.php?workbook=14_06.xlsx&amp;sheet=U0&amp;row=2654&amp;col=7&amp;number=0.272&amp;sourceID=14","0.272")</f>
        <v>0.272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HYPERLINK("http://141.218.60.56/~jnz1568/getInfo.php?workbook=14_06.xlsx&amp;sheet=U0&amp;row=2655&amp;col=6&amp;number=4.1&amp;sourceID=14","4.1")</f>
        <v>4.1</v>
      </c>
      <c r="G2655" s="4" t="str">
        <f>HYPERLINK("http://141.218.60.56/~jnz1568/getInfo.php?workbook=14_06.xlsx&amp;sheet=U0&amp;row=2655&amp;col=7&amp;number=0.271&amp;sourceID=14","0.271")</f>
        <v>0.271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HYPERLINK("http://141.218.60.56/~jnz1568/getInfo.php?workbook=14_06.xlsx&amp;sheet=U0&amp;row=2656&amp;col=6&amp;number=4.2&amp;sourceID=14","4.2")</f>
        <v>4.2</v>
      </c>
      <c r="G2656" s="4" t="str">
        <f>HYPERLINK("http://141.218.60.56/~jnz1568/getInfo.php?workbook=14_06.xlsx&amp;sheet=U0&amp;row=2656&amp;col=7&amp;number=0.271&amp;sourceID=14","0.271")</f>
        <v>0.271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HYPERLINK("http://141.218.60.56/~jnz1568/getInfo.php?workbook=14_06.xlsx&amp;sheet=U0&amp;row=2657&amp;col=6&amp;number=4.3&amp;sourceID=14","4.3")</f>
        <v>4.3</v>
      </c>
      <c r="G2657" s="4" t="str">
        <f>HYPERLINK("http://141.218.60.56/~jnz1568/getInfo.php?workbook=14_06.xlsx&amp;sheet=U0&amp;row=2657&amp;col=7&amp;number=0.27&amp;sourceID=14","0.27")</f>
        <v>0.27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HYPERLINK("http://141.218.60.56/~jnz1568/getInfo.php?workbook=14_06.xlsx&amp;sheet=U0&amp;row=2658&amp;col=6&amp;number=4.4&amp;sourceID=14","4.4")</f>
        <v>4.4</v>
      </c>
      <c r="G2658" s="4" t="str">
        <f>HYPERLINK("http://141.218.60.56/~jnz1568/getInfo.php?workbook=14_06.xlsx&amp;sheet=U0&amp;row=2658&amp;col=7&amp;number=0.269&amp;sourceID=14","0.269")</f>
        <v>0.269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HYPERLINK("http://141.218.60.56/~jnz1568/getInfo.php?workbook=14_06.xlsx&amp;sheet=U0&amp;row=2659&amp;col=6&amp;number=4.5&amp;sourceID=14","4.5")</f>
        <v>4.5</v>
      </c>
      <c r="G2659" s="4" t="str">
        <f>HYPERLINK("http://141.218.60.56/~jnz1568/getInfo.php?workbook=14_06.xlsx&amp;sheet=U0&amp;row=2659&amp;col=7&amp;number=0.268&amp;sourceID=14","0.268")</f>
        <v>0.268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HYPERLINK("http://141.218.60.56/~jnz1568/getInfo.php?workbook=14_06.xlsx&amp;sheet=U0&amp;row=2660&amp;col=6&amp;number=4.6&amp;sourceID=14","4.6")</f>
        <v>4.6</v>
      </c>
      <c r="G2660" s="4" t="str">
        <f>HYPERLINK("http://141.218.60.56/~jnz1568/getInfo.php?workbook=14_06.xlsx&amp;sheet=U0&amp;row=2660&amp;col=7&amp;number=0.266&amp;sourceID=14","0.266")</f>
        <v>0.266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HYPERLINK("http://141.218.60.56/~jnz1568/getInfo.php?workbook=14_06.xlsx&amp;sheet=U0&amp;row=2661&amp;col=6&amp;number=4.7&amp;sourceID=14","4.7")</f>
        <v>4.7</v>
      </c>
      <c r="G2661" s="4" t="str">
        <f>HYPERLINK("http://141.218.60.56/~jnz1568/getInfo.php?workbook=14_06.xlsx&amp;sheet=U0&amp;row=2661&amp;col=7&amp;number=0.265&amp;sourceID=14","0.265")</f>
        <v>0.265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HYPERLINK("http://141.218.60.56/~jnz1568/getInfo.php?workbook=14_06.xlsx&amp;sheet=U0&amp;row=2662&amp;col=6&amp;number=4.8&amp;sourceID=14","4.8")</f>
        <v>4.8</v>
      </c>
      <c r="G2662" s="4" t="str">
        <f>HYPERLINK("http://141.218.60.56/~jnz1568/getInfo.php?workbook=14_06.xlsx&amp;sheet=U0&amp;row=2662&amp;col=7&amp;number=0.262&amp;sourceID=14","0.262")</f>
        <v>0.262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HYPERLINK("http://141.218.60.56/~jnz1568/getInfo.php?workbook=14_06.xlsx&amp;sheet=U0&amp;row=2663&amp;col=6&amp;number=4.9&amp;sourceID=14","4.9")</f>
        <v>4.9</v>
      </c>
      <c r="G2663" s="4" t="str">
        <f>HYPERLINK("http://141.218.60.56/~jnz1568/getInfo.php?workbook=14_06.xlsx&amp;sheet=U0&amp;row=2663&amp;col=7&amp;number=0.26&amp;sourceID=14","0.26")</f>
        <v>0.26</v>
      </c>
    </row>
    <row r="2664" spans="1:7">
      <c r="A2664" s="3">
        <v>14</v>
      </c>
      <c r="B2664" s="3">
        <v>6</v>
      </c>
      <c r="C2664" s="3">
        <v>4</v>
      </c>
      <c r="D2664" s="3">
        <v>6</v>
      </c>
      <c r="E2664" s="3">
        <v>1</v>
      </c>
      <c r="F2664" s="4" t="str">
        <f>HYPERLINK("http://141.218.60.56/~jnz1568/getInfo.php?workbook=14_06.xlsx&amp;sheet=U0&amp;row=2664&amp;col=6&amp;number=3&amp;sourceID=14","3")</f>
        <v>3</v>
      </c>
      <c r="G2664" s="4" t="str">
        <f>HYPERLINK("http://141.218.60.56/~jnz1568/getInfo.php?workbook=14_06.xlsx&amp;sheet=U0&amp;row=2664&amp;col=7&amp;number=0.000185&amp;sourceID=14","0.000185")</f>
        <v>0.000185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HYPERLINK("http://141.218.60.56/~jnz1568/getInfo.php?workbook=14_06.xlsx&amp;sheet=U0&amp;row=2665&amp;col=6&amp;number=3.1&amp;sourceID=14","3.1")</f>
        <v>3.1</v>
      </c>
      <c r="G2665" s="4" t="str">
        <f>HYPERLINK("http://141.218.60.56/~jnz1568/getInfo.php?workbook=14_06.xlsx&amp;sheet=U0&amp;row=2665&amp;col=7&amp;number=0.000185&amp;sourceID=14","0.000185")</f>
        <v>0.000185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HYPERLINK("http://141.218.60.56/~jnz1568/getInfo.php?workbook=14_06.xlsx&amp;sheet=U0&amp;row=2666&amp;col=6&amp;number=3.2&amp;sourceID=14","3.2")</f>
        <v>3.2</v>
      </c>
      <c r="G2666" s="4" t="str">
        <f>HYPERLINK("http://141.218.60.56/~jnz1568/getInfo.php?workbook=14_06.xlsx&amp;sheet=U0&amp;row=2666&amp;col=7&amp;number=0.000185&amp;sourceID=14","0.000185")</f>
        <v>0.000185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HYPERLINK("http://141.218.60.56/~jnz1568/getInfo.php?workbook=14_06.xlsx&amp;sheet=U0&amp;row=2667&amp;col=6&amp;number=3.3&amp;sourceID=14","3.3")</f>
        <v>3.3</v>
      </c>
      <c r="G2667" s="4" t="str">
        <f>HYPERLINK("http://141.218.60.56/~jnz1568/getInfo.php?workbook=14_06.xlsx&amp;sheet=U0&amp;row=2667&amp;col=7&amp;number=0.000185&amp;sourceID=14","0.000185")</f>
        <v>0.000185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HYPERLINK("http://141.218.60.56/~jnz1568/getInfo.php?workbook=14_06.xlsx&amp;sheet=U0&amp;row=2668&amp;col=6&amp;number=3.4&amp;sourceID=14","3.4")</f>
        <v>3.4</v>
      </c>
      <c r="G2668" s="4" t="str">
        <f>HYPERLINK("http://141.218.60.56/~jnz1568/getInfo.php?workbook=14_06.xlsx&amp;sheet=U0&amp;row=2668&amp;col=7&amp;number=0.000185&amp;sourceID=14","0.000185")</f>
        <v>0.000185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HYPERLINK("http://141.218.60.56/~jnz1568/getInfo.php?workbook=14_06.xlsx&amp;sheet=U0&amp;row=2669&amp;col=6&amp;number=3.5&amp;sourceID=14","3.5")</f>
        <v>3.5</v>
      </c>
      <c r="G2669" s="4" t="str">
        <f>HYPERLINK("http://141.218.60.56/~jnz1568/getInfo.php?workbook=14_06.xlsx&amp;sheet=U0&amp;row=2669&amp;col=7&amp;number=0.000185&amp;sourceID=14","0.000185")</f>
        <v>0.000185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HYPERLINK("http://141.218.60.56/~jnz1568/getInfo.php?workbook=14_06.xlsx&amp;sheet=U0&amp;row=2670&amp;col=6&amp;number=3.6&amp;sourceID=14","3.6")</f>
        <v>3.6</v>
      </c>
      <c r="G2670" s="4" t="str">
        <f>HYPERLINK("http://141.218.60.56/~jnz1568/getInfo.php?workbook=14_06.xlsx&amp;sheet=U0&amp;row=2670&amp;col=7&amp;number=0.000185&amp;sourceID=14","0.000185")</f>
        <v>0.000185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HYPERLINK("http://141.218.60.56/~jnz1568/getInfo.php?workbook=14_06.xlsx&amp;sheet=U0&amp;row=2671&amp;col=6&amp;number=3.7&amp;sourceID=14","3.7")</f>
        <v>3.7</v>
      </c>
      <c r="G2671" s="4" t="str">
        <f>HYPERLINK("http://141.218.60.56/~jnz1568/getInfo.php?workbook=14_06.xlsx&amp;sheet=U0&amp;row=2671&amp;col=7&amp;number=0.000185&amp;sourceID=14","0.000185")</f>
        <v>0.000185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HYPERLINK("http://141.218.60.56/~jnz1568/getInfo.php?workbook=14_06.xlsx&amp;sheet=U0&amp;row=2672&amp;col=6&amp;number=3.8&amp;sourceID=14","3.8")</f>
        <v>3.8</v>
      </c>
      <c r="G2672" s="4" t="str">
        <f>HYPERLINK("http://141.218.60.56/~jnz1568/getInfo.php?workbook=14_06.xlsx&amp;sheet=U0&amp;row=2672&amp;col=7&amp;number=0.000184&amp;sourceID=14","0.000184")</f>
        <v>0.000184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HYPERLINK("http://141.218.60.56/~jnz1568/getInfo.php?workbook=14_06.xlsx&amp;sheet=U0&amp;row=2673&amp;col=6&amp;number=3.9&amp;sourceID=14","3.9")</f>
        <v>3.9</v>
      </c>
      <c r="G2673" s="4" t="str">
        <f>HYPERLINK("http://141.218.60.56/~jnz1568/getInfo.php?workbook=14_06.xlsx&amp;sheet=U0&amp;row=2673&amp;col=7&amp;number=0.000184&amp;sourceID=14","0.000184")</f>
        <v>0.000184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HYPERLINK("http://141.218.60.56/~jnz1568/getInfo.php?workbook=14_06.xlsx&amp;sheet=U0&amp;row=2674&amp;col=6&amp;number=4&amp;sourceID=14","4")</f>
        <v>4</v>
      </c>
      <c r="G2674" s="4" t="str">
        <f>HYPERLINK("http://141.218.60.56/~jnz1568/getInfo.php?workbook=14_06.xlsx&amp;sheet=U0&amp;row=2674&amp;col=7&amp;number=0.000184&amp;sourceID=14","0.000184")</f>
        <v>0.000184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HYPERLINK("http://141.218.60.56/~jnz1568/getInfo.php?workbook=14_06.xlsx&amp;sheet=U0&amp;row=2675&amp;col=6&amp;number=4.1&amp;sourceID=14","4.1")</f>
        <v>4.1</v>
      </c>
      <c r="G2675" s="4" t="str">
        <f>HYPERLINK("http://141.218.60.56/~jnz1568/getInfo.php?workbook=14_06.xlsx&amp;sheet=U0&amp;row=2675&amp;col=7&amp;number=0.000184&amp;sourceID=14","0.000184")</f>
        <v>0.000184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HYPERLINK("http://141.218.60.56/~jnz1568/getInfo.php?workbook=14_06.xlsx&amp;sheet=U0&amp;row=2676&amp;col=6&amp;number=4.2&amp;sourceID=14","4.2")</f>
        <v>4.2</v>
      </c>
      <c r="G2676" s="4" t="str">
        <f>HYPERLINK("http://141.218.60.56/~jnz1568/getInfo.php?workbook=14_06.xlsx&amp;sheet=U0&amp;row=2676&amp;col=7&amp;number=0.000184&amp;sourceID=14","0.000184")</f>
        <v>0.000184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HYPERLINK("http://141.218.60.56/~jnz1568/getInfo.php?workbook=14_06.xlsx&amp;sheet=U0&amp;row=2677&amp;col=6&amp;number=4.3&amp;sourceID=14","4.3")</f>
        <v>4.3</v>
      </c>
      <c r="G2677" s="4" t="str">
        <f>HYPERLINK("http://141.218.60.56/~jnz1568/getInfo.php?workbook=14_06.xlsx&amp;sheet=U0&amp;row=2677&amp;col=7&amp;number=0.000184&amp;sourceID=14","0.000184")</f>
        <v>0.000184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HYPERLINK("http://141.218.60.56/~jnz1568/getInfo.php?workbook=14_06.xlsx&amp;sheet=U0&amp;row=2678&amp;col=6&amp;number=4.4&amp;sourceID=14","4.4")</f>
        <v>4.4</v>
      </c>
      <c r="G2678" s="4" t="str">
        <f>HYPERLINK("http://141.218.60.56/~jnz1568/getInfo.php?workbook=14_06.xlsx&amp;sheet=U0&amp;row=2678&amp;col=7&amp;number=0.000184&amp;sourceID=14","0.000184")</f>
        <v>0.000184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HYPERLINK("http://141.218.60.56/~jnz1568/getInfo.php?workbook=14_06.xlsx&amp;sheet=U0&amp;row=2679&amp;col=6&amp;number=4.5&amp;sourceID=14","4.5")</f>
        <v>4.5</v>
      </c>
      <c r="G2679" s="4" t="str">
        <f>HYPERLINK("http://141.218.60.56/~jnz1568/getInfo.php?workbook=14_06.xlsx&amp;sheet=U0&amp;row=2679&amp;col=7&amp;number=0.000184&amp;sourceID=14","0.000184")</f>
        <v>0.000184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HYPERLINK("http://141.218.60.56/~jnz1568/getInfo.php?workbook=14_06.xlsx&amp;sheet=U0&amp;row=2680&amp;col=6&amp;number=4.6&amp;sourceID=14","4.6")</f>
        <v>4.6</v>
      </c>
      <c r="G2680" s="4" t="str">
        <f>HYPERLINK("http://141.218.60.56/~jnz1568/getInfo.php?workbook=14_06.xlsx&amp;sheet=U0&amp;row=2680&amp;col=7&amp;number=0.000183&amp;sourceID=14","0.000183")</f>
        <v>0.000183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HYPERLINK("http://141.218.60.56/~jnz1568/getInfo.php?workbook=14_06.xlsx&amp;sheet=U0&amp;row=2681&amp;col=6&amp;number=4.7&amp;sourceID=14","4.7")</f>
        <v>4.7</v>
      </c>
      <c r="G2681" s="4" t="str">
        <f>HYPERLINK("http://141.218.60.56/~jnz1568/getInfo.php?workbook=14_06.xlsx&amp;sheet=U0&amp;row=2681&amp;col=7&amp;number=0.000183&amp;sourceID=14","0.000183")</f>
        <v>0.000183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HYPERLINK("http://141.218.60.56/~jnz1568/getInfo.php?workbook=14_06.xlsx&amp;sheet=U0&amp;row=2682&amp;col=6&amp;number=4.8&amp;sourceID=14","4.8")</f>
        <v>4.8</v>
      </c>
      <c r="G2682" s="4" t="str">
        <f>HYPERLINK("http://141.218.60.56/~jnz1568/getInfo.php?workbook=14_06.xlsx&amp;sheet=U0&amp;row=2682&amp;col=7&amp;number=0.000182&amp;sourceID=14","0.000182")</f>
        <v>0.000182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HYPERLINK("http://141.218.60.56/~jnz1568/getInfo.php?workbook=14_06.xlsx&amp;sheet=U0&amp;row=2683&amp;col=6&amp;number=4.9&amp;sourceID=14","4.9")</f>
        <v>4.9</v>
      </c>
      <c r="G2683" s="4" t="str">
        <f>HYPERLINK("http://141.218.60.56/~jnz1568/getInfo.php?workbook=14_06.xlsx&amp;sheet=U0&amp;row=2683&amp;col=7&amp;number=0.000182&amp;sourceID=14","0.000182")</f>
        <v>0.000182</v>
      </c>
    </row>
    <row r="2684" spans="1:7">
      <c r="A2684" s="3">
        <v>14</v>
      </c>
      <c r="B2684" s="3">
        <v>6</v>
      </c>
      <c r="C2684" s="3">
        <v>4</v>
      </c>
      <c r="D2684" s="3">
        <v>7</v>
      </c>
      <c r="E2684" s="3">
        <v>1</v>
      </c>
      <c r="F2684" s="4" t="str">
        <f>HYPERLINK("http://141.218.60.56/~jnz1568/getInfo.php?workbook=14_06.xlsx&amp;sheet=U0&amp;row=2684&amp;col=6&amp;number=3&amp;sourceID=14","3")</f>
        <v>3</v>
      </c>
      <c r="G2684" s="4" t="str">
        <f>HYPERLINK("http://141.218.60.56/~jnz1568/getInfo.php?workbook=14_06.xlsx&amp;sheet=U0&amp;row=2684&amp;col=7&amp;number=0.0645&amp;sourceID=14","0.0645")</f>
        <v>0.0645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HYPERLINK("http://141.218.60.56/~jnz1568/getInfo.php?workbook=14_06.xlsx&amp;sheet=U0&amp;row=2685&amp;col=6&amp;number=3.1&amp;sourceID=14","3.1")</f>
        <v>3.1</v>
      </c>
      <c r="G2685" s="4" t="str">
        <f>HYPERLINK("http://141.218.60.56/~jnz1568/getInfo.php?workbook=14_06.xlsx&amp;sheet=U0&amp;row=2685&amp;col=7&amp;number=0.0645&amp;sourceID=14","0.0645")</f>
        <v>0.0645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HYPERLINK("http://141.218.60.56/~jnz1568/getInfo.php?workbook=14_06.xlsx&amp;sheet=U0&amp;row=2686&amp;col=6&amp;number=3.2&amp;sourceID=14","3.2")</f>
        <v>3.2</v>
      </c>
      <c r="G2686" s="4" t="str">
        <f>HYPERLINK("http://141.218.60.56/~jnz1568/getInfo.php?workbook=14_06.xlsx&amp;sheet=U0&amp;row=2686&amp;col=7&amp;number=0.0645&amp;sourceID=14","0.0645")</f>
        <v>0.0645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HYPERLINK("http://141.218.60.56/~jnz1568/getInfo.php?workbook=14_06.xlsx&amp;sheet=U0&amp;row=2687&amp;col=6&amp;number=3.3&amp;sourceID=14","3.3")</f>
        <v>3.3</v>
      </c>
      <c r="G2687" s="4" t="str">
        <f>HYPERLINK("http://141.218.60.56/~jnz1568/getInfo.php?workbook=14_06.xlsx&amp;sheet=U0&amp;row=2687&amp;col=7&amp;number=0.0645&amp;sourceID=14","0.0645")</f>
        <v>0.0645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HYPERLINK("http://141.218.60.56/~jnz1568/getInfo.php?workbook=14_06.xlsx&amp;sheet=U0&amp;row=2688&amp;col=6&amp;number=3.4&amp;sourceID=14","3.4")</f>
        <v>3.4</v>
      </c>
      <c r="G2688" s="4" t="str">
        <f>HYPERLINK("http://141.218.60.56/~jnz1568/getInfo.php?workbook=14_06.xlsx&amp;sheet=U0&amp;row=2688&amp;col=7&amp;number=0.0645&amp;sourceID=14","0.0645")</f>
        <v>0.0645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HYPERLINK("http://141.218.60.56/~jnz1568/getInfo.php?workbook=14_06.xlsx&amp;sheet=U0&amp;row=2689&amp;col=6&amp;number=3.5&amp;sourceID=14","3.5")</f>
        <v>3.5</v>
      </c>
      <c r="G2689" s="4" t="str">
        <f>HYPERLINK("http://141.218.60.56/~jnz1568/getInfo.php?workbook=14_06.xlsx&amp;sheet=U0&amp;row=2689&amp;col=7&amp;number=0.0645&amp;sourceID=14","0.0645")</f>
        <v>0.0645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HYPERLINK("http://141.218.60.56/~jnz1568/getInfo.php?workbook=14_06.xlsx&amp;sheet=U0&amp;row=2690&amp;col=6&amp;number=3.6&amp;sourceID=14","3.6")</f>
        <v>3.6</v>
      </c>
      <c r="G2690" s="4" t="str">
        <f>HYPERLINK("http://141.218.60.56/~jnz1568/getInfo.php?workbook=14_06.xlsx&amp;sheet=U0&amp;row=2690&amp;col=7&amp;number=0.0645&amp;sourceID=14","0.0645")</f>
        <v>0.0645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HYPERLINK("http://141.218.60.56/~jnz1568/getInfo.php?workbook=14_06.xlsx&amp;sheet=U0&amp;row=2691&amp;col=6&amp;number=3.7&amp;sourceID=14","3.7")</f>
        <v>3.7</v>
      </c>
      <c r="G2691" s="4" t="str">
        <f>HYPERLINK("http://141.218.60.56/~jnz1568/getInfo.php?workbook=14_06.xlsx&amp;sheet=U0&amp;row=2691&amp;col=7&amp;number=0.0645&amp;sourceID=14","0.0645")</f>
        <v>0.0645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HYPERLINK("http://141.218.60.56/~jnz1568/getInfo.php?workbook=14_06.xlsx&amp;sheet=U0&amp;row=2692&amp;col=6&amp;number=3.8&amp;sourceID=14","3.8")</f>
        <v>3.8</v>
      </c>
      <c r="G2692" s="4" t="str">
        <f>HYPERLINK("http://141.218.60.56/~jnz1568/getInfo.php?workbook=14_06.xlsx&amp;sheet=U0&amp;row=2692&amp;col=7&amp;number=0.0644&amp;sourceID=14","0.0644")</f>
        <v>0.0644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HYPERLINK("http://141.218.60.56/~jnz1568/getInfo.php?workbook=14_06.xlsx&amp;sheet=U0&amp;row=2693&amp;col=6&amp;number=3.9&amp;sourceID=14","3.9")</f>
        <v>3.9</v>
      </c>
      <c r="G2693" s="4" t="str">
        <f>HYPERLINK("http://141.218.60.56/~jnz1568/getInfo.php?workbook=14_06.xlsx&amp;sheet=U0&amp;row=2693&amp;col=7&amp;number=0.0644&amp;sourceID=14","0.0644")</f>
        <v>0.0644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HYPERLINK("http://141.218.60.56/~jnz1568/getInfo.php?workbook=14_06.xlsx&amp;sheet=U0&amp;row=2694&amp;col=6&amp;number=4&amp;sourceID=14","4")</f>
        <v>4</v>
      </c>
      <c r="G2694" s="4" t="str">
        <f>HYPERLINK("http://141.218.60.56/~jnz1568/getInfo.php?workbook=14_06.xlsx&amp;sheet=U0&amp;row=2694&amp;col=7&amp;number=0.0644&amp;sourceID=14","0.0644")</f>
        <v>0.0644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HYPERLINK("http://141.218.60.56/~jnz1568/getInfo.php?workbook=14_06.xlsx&amp;sheet=U0&amp;row=2695&amp;col=6&amp;number=4.1&amp;sourceID=14","4.1")</f>
        <v>4.1</v>
      </c>
      <c r="G2695" s="4" t="str">
        <f>HYPERLINK("http://141.218.60.56/~jnz1568/getInfo.php?workbook=14_06.xlsx&amp;sheet=U0&amp;row=2695&amp;col=7&amp;number=0.0644&amp;sourceID=14","0.0644")</f>
        <v>0.0644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HYPERLINK("http://141.218.60.56/~jnz1568/getInfo.php?workbook=14_06.xlsx&amp;sheet=U0&amp;row=2696&amp;col=6&amp;number=4.2&amp;sourceID=14","4.2")</f>
        <v>4.2</v>
      </c>
      <c r="G2696" s="4" t="str">
        <f>HYPERLINK("http://141.218.60.56/~jnz1568/getInfo.php?workbook=14_06.xlsx&amp;sheet=U0&amp;row=2696&amp;col=7&amp;number=0.0643&amp;sourceID=14","0.0643")</f>
        <v>0.0643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HYPERLINK("http://141.218.60.56/~jnz1568/getInfo.php?workbook=14_06.xlsx&amp;sheet=U0&amp;row=2697&amp;col=6&amp;number=4.3&amp;sourceID=14","4.3")</f>
        <v>4.3</v>
      </c>
      <c r="G2697" s="4" t="str">
        <f>HYPERLINK("http://141.218.60.56/~jnz1568/getInfo.php?workbook=14_06.xlsx&amp;sheet=U0&amp;row=2697&amp;col=7&amp;number=0.0643&amp;sourceID=14","0.0643")</f>
        <v>0.0643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HYPERLINK("http://141.218.60.56/~jnz1568/getInfo.php?workbook=14_06.xlsx&amp;sheet=U0&amp;row=2698&amp;col=6&amp;number=4.4&amp;sourceID=14","4.4")</f>
        <v>4.4</v>
      </c>
      <c r="G2698" s="4" t="str">
        <f>HYPERLINK("http://141.218.60.56/~jnz1568/getInfo.php?workbook=14_06.xlsx&amp;sheet=U0&amp;row=2698&amp;col=7&amp;number=0.0642&amp;sourceID=14","0.0642")</f>
        <v>0.0642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HYPERLINK("http://141.218.60.56/~jnz1568/getInfo.php?workbook=14_06.xlsx&amp;sheet=U0&amp;row=2699&amp;col=6&amp;number=4.5&amp;sourceID=14","4.5")</f>
        <v>4.5</v>
      </c>
      <c r="G2699" s="4" t="str">
        <f>HYPERLINK("http://141.218.60.56/~jnz1568/getInfo.php?workbook=14_06.xlsx&amp;sheet=U0&amp;row=2699&amp;col=7&amp;number=0.0641&amp;sourceID=14","0.0641")</f>
        <v>0.0641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HYPERLINK("http://141.218.60.56/~jnz1568/getInfo.php?workbook=14_06.xlsx&amp;sheet=U0&amp;row=2700&amp;col=6&amp;number=4.6&amp;sourceID=14","4.6")</f>
        <v>4.6</v>
      </c>
      <c r="G2700" s="4" t="str">
        <f>HYPERLINK("http://141.218.60.56/~jnz1568/getInfo.php?workbook=14_06.xlsx&amp;sheet=U0&amp;row=2700&amp;col=7&amp;number=0.064&amp;sourceID=14","0.064")</f>
        <v>0.064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HYPERLINK("http://141.218.60.56/~jnz1568/getInfo.php?workbook=14_06.xlsx&amp;sheet=U0&amp;row=2701&amp;col=6&amp;number=4.7&amp;sourceID=14","4.7")</f>
        <v>4.7</v>
      </c>
      <c r="G2701" s="4" t="str">
        <f>HYPERLINK("http://141.218.60.56/~jnz1568/getInfo.php?workbook=14_06.xlsx&amp;sheet=U0&amp;row=2701&amp;col=7&amp;number=0.0638&amp;sourceID=14","0.0638")</f>
        <v>0.0638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HYPERLINK("http://141.218.60.56/~jnz1568/getInfo.php?workbook=14_06.xlsx&amp;sheet=U0&amp;row=2702&amp;col=6&amp;number=4.8&amp;sourceID=14","4.8")</f>
        <v>4.8</v>
      </c>
      <c r="G2702" s="4" t="str">
        <f>HYPERLINK("http://141.218.60.56/~jnz1568/getInfo.php?workbook=14_06.xlsx&amp;sheet=U0&amp;row=2702&amp;col=7&amp;number=0.0637&amp;sourceID=14","0.0637")</f>
        <v>0.0637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HYPERLINK("http://141.218.60.56/~jnz1568/getInfo.php?workbook=14_06.xlsx&amp;sheet=U0&amp;row=2703&amp;col=6&amp;number=4.9&amp;sourceID=14","4.9")</f>
        <v>4.9</v>
      </c>
      <c r="G2703" s="4" t="str">
        <f>HYPERLINK("http://141.218.60.56/~jnz1568/getInfo.php?workbook=14_06.xlsx&amp;sheet=U0&amp;row=2703&amp;col=7&amp;number=0.0634&amp;sourceID=14","0.0634")</f>
        <v>0.0634</v>
      </c>
    </row>
    <row r="2704" spans="1:7">
      <c r="A2704" s="3">
        <v>14</v>
      </c>
      <c r="B2704" s="3">
        <v>6</v>
      </c>
      <c r="C2704" s="3">
        <v>4</v>
      </c>
      <c r="D2704" s="3">
        <v>8</v>
      </c>
      <c r="E2704" s="3">
        <v>1</v>
      </c>
      <c r="F2704" s="4" t="str">
        <f>HYPERLINK("http://141.218.60.56/~jnz1568/getInfo.php?workbook=14_06.xlsx&amp;sheet=U0&amp;row=2704&amp;col=6&amp;number=3&amp;sourceID=14","3")</f>
        <v>3</v>
      </c>
      <c r="G2704" s="4" t="str">
        <f>HYPERLINK("http://141.218.60.56/~jnz1568/getInfo.php?workbook=14_06.xlsx&amp;sheet=U0&amp;row=2704&amp;col=7&amp;number=0.0399&amp;sourceID=14","0.0399")</f>
        <v>0.0399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HYPERLINK("http://141.218.60.56/~jnz1568/getInfo.php?workbook=14_06.xlsx&amp;sheet=U0&amp;row=2705&amp;col=6&amp;number=3.1&amp;sourceID=14","3.1")</f>
        <v>3.1</v>
      </c>
      <c r="G2705" s="4" t="str">
        <f>HYPERLINK("http://141.218.60.56/~jnz1568/getInfo.php?workbook=14_06.xlsx&amp;sheet=U0&amp;row=2705&amp;col=7&amp;number=0.0398&amp;sourceID=14","0.0398")</f>
        <v>0.0398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HYPERLINK("http://141.218.60.56/~jnz1568/getInfo.php?workbook=14_06.xlsx&amp;sheet=U0&amp;row=2706&amp;col=6&amp;number=3.2&amp;sourceID=14","3.2")</f>
        <v>3.2</v>
      </c>
      <c r="G2706" s="4" t="str">
        <f>HYPERLINK("http://141.218.60.56/~jnz1568/getInfo.php?workbook=14_06.xlsx&amp;sheet=U0&amp;row=2706&amp;col=7&amp;number=0.0398&amp;sourceID=14","0.0398")</f>
        <v>0.0398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HYPERLINK("http://141.218.60.56/~jnz1568/getInfo.php?workbook=14_06.xlsx&amp;sheet=U0&amp;row=2707&amp;col=6&amp;number=3.3&amp;sourceID=14","3.3")</f>
        <v>3.3</v>
      </c>
      <c r="G2707" s="4" t="str">
        <f>HYPERLINK("http://141.218.60.56/~jnz1568/getInfo.php?workbook=14_06.xlsx&amp;sheet=U0&amp;row=2707&amp;col=7&amp;number=0.0398&amp;sourceID=14","0.0398")</f>
        <v>0.0398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HYPERLINK("http://141.218.60.56/~jnz1568/getInfo.php?workbook=14_06.xlsx&amp;sheet=U0&amp;row=2708&amp;col=6&amp;number=3.4&amp;sourceID=14","3.4")</f>
        <v>3.4</v>
      </c>
      <c r="G2708" s="4" t="str">
        <f>HYPERLINK("http://141.218.60.56/~jnz1568/getInfo.php?workbook=14_06.xlsx&amp;sheet=U0&amp;row=2708&amp;col=7&amp;number=0.0398&amp;sourceID=14","0.0398")</f>
        <v>0.0398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HYPERLINK("http://141.218.60.56/~jnz1568/getInfo.php?workbook=14_06.xlsx&amp;sheet=U0&amp;row=2709&amp;col=6&amp;number=3.5&amp;sourceID=14","3.5")</f>
        <v>3.5</v>
      </c>
      <c r="G2709" s="4" t="str">
        <f>HYPERLINK("http://141.218.60.56/~jnz1568/getInfo.php?workbook=14_06.xlsx&amp;sheet=U0&amp;row=2709&amp;col=7&amp;number=0.0398&amp;sourceID=14","0.0398")</f>
        <v>0.0398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HYPERLINK("http://141.218.60.56/~jnz1568/getInfo.php?workbook=14_06.xlsx&amp;sheet=U0&amp;row=2710&amp;col=6&amp;number=3.6&amp;sourceID=14","3.6")</f>
        <v>3.6</v>
      </c>
      <c r="G2710" s="4" t="str">
        <f>HYPERLINK("http://141.218.60.56/~jnz1568/getInfo.php?workbook=14_06.xlsx&amp;sheet=U0&amp;row=2710&amp;col=7&amp;number=0.0398&amp;sourceID=14","0.0398")</f>
        <v>0.0398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HYPERLINK("http://141.218.60.56/~jnz1568/getInfo.php?workbook=14_06.xlsx&amp;sheet=U0&amp;row=2711&amp;col=6&amp;number=3.7&amp;sourceID=14","3.7")</f>
        <v>3.7</v>
      </c>
      <c r="G2711" s="4" t="str">
        <f>HYPERLINK("http://141.218.60.56/~jnz1568/getInfo.php?workbook=14_06.xlsx&amp;sheet=U0&amp;row=2711&amp;col=7&amp;number=0.0398&amp;sourceID=14","0.0398")</f>
        <v>0.0398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HYPERLINK("http://141.218.60.56/~jnz1568/getInfo.php?workbook=14_06.xlsx&amp;sheet=U0&amp;row=2712&amp;col=6&amp;number=3.8&amp;sourceID=14","3.8")</f>
        <v>3.8</v>
      </c>
      <c r="G2712" s="4" t="str">
        <f>HYPERLINK("http://141.218.60.56/~jnz1568/getInfo.php?workbook=14_06.xlsx&amp;sheet=U0&amp;row=2712&amp;col=7&amp;number=0.0398&amp;sourceID=14","0.0398")</f>
        <v>0.0398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HYPERLINK("http://141.218.60.56/~jnz1568/getInfo.php?workbook=14_06.xlsx&amp;sheet=U0&amp;row=2713&amp;col=6&amp;number=3.9&amp;sourceID=14","3.9")</f>
        <v>3.9</v>
      </c>
      <c r="G2713" s="4" t="str">
        <f>HYPERLINK("http://141.218.60.56/~jnz1568/getInfo.php?workbook=14_06.xlsx&amp;sheet=U0&amp;row=2713&amp;col=7&amp;number=0.0398&amp;sourceID=14","0.0398")</f>
        <v>0.0398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HYPERLINK("http://141.218.60.56/~jnz1568/getInfo.php?workbook=14_06.xlsx&amp;sheet=U0&amp;row=2714&amp;col=6&amp;number=4&amp;sourceID=14","4")</f>
        <v>4</v>
      </c>
      <c r="G2714" s="4" t="str">
        <f>HYPERLINK("http://141.218.60.56/~jnz1568/getInfo.php?workbook=14_06.xlsx&amp;sheet=U0&amp;row=2714&amp;col=7&amp;number=0.0398&amp;sourceID=14","0.0398")</f>
        <v>0.0398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HYPERLINK("http://141.218.60.56/~jnz1568/getInfo.php?workbook=14_06.xlsx&amp;sheet=U0&amp;row=2715&amp;col=6&amp;number=4.1&amp;sourceID=14","4.1")</f>
        <v>4.1</v>
      </c>
      <c r="G2715" s="4" t="str">
        <f>HYPERLINK("http://141.218.60.56/~jnz1568/getInfo.php?workbook=14_06.xlsx&amp;sheet=U0&amp;row=2715&amp;col=7&amp;number=0.0398&amp;sourceID=14","0.0398")</f>
        <v>0.0398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HYPERLINK("http://141.218.60.56/~jnz1568/getInfo.php?workbook=14_06.xlsx&amp;sheet=U0&amp;row=2716&amp;col=6&amp;number=4.2&amp;sourceID=14","4.2")</f>
        <v>4.2</v>
      </c>
      <c r="G2716" s="4" t="str">
        <f>HYPERLINK("http://141.218.60.56/~jnz1568/getInfo.php?workbook=14_06.xlsx&amp;sheet=U0&amp;row=2716&amp;col=7&amp;number=0.0397&amp;sourceID=14","0.0397")</f>
        <v>0.0397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HYPERLINK("http://141.218.60.56/~jnz1568/getInfo.php?workbook=14_06.xlsx&amp;sheet=U0&amp;row=2717&amp;col=6&amp;number=4.3&amp;sourceID=14","4.3")</f>
        <v>4.3</v>
      </c>
      <c r="G2717" s="4" t="str">
        <f>HYPERLINK("http://141.218.60.56/~jnz1568/getInfo.php?workbook=14_06.xlsx&amp;sheet=U0&amp;row=2717&amp;col=7&amp;number=0.0397&amp;sourceID=14","0.0397")</f>
        <v>0.0397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HYPERLINK("http://141.218.60.56/~jnz1568/getInfo.php?workbook=14_06.xlsx&amp;sheet=U0&amp;row=2718&amp;col=6&amp;number=4.4&amp;sourceID=14","4.4")</f>
        <v>4.4</v>
      </c>
      <c r="G2718" s="4" t="str">
        <f>HYPERLINK("http://141.218.60.56/~jnz1568/getInfo.php?workbook=14_06.xlsx&amp;sheet=U0&amp;row=2718&amp;col=7&amp;number=0.0396&amp;sourceID=14","0.0396")</f>
        <v>0.0396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HYPERLINK("http://141.218.60.56/~jnz1568/getInfo.php?workbook=14_06.xlsx&amp;sheet=U0&amp;row=2719&amp;col=6&amp;number=4.5&amp;sourceID=14","4.5")</f>
        <v>4.5</v>
      </c>
      <c r="G2719" s="4" t="str">
        <f>HYPERLINK("http://141.218.60.56/~jnz1568/getInfo.php?workbook=14_06.xlsx&amp;sheet=U0&amp;row=2719&amp;col=7&amp;number=0.0396&amp;sourceID=14","0.0396")</f>
        <v>0.0396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HYPERLINK("http://141.218.60.56/~jnz1568/getInfo.php?workbook=14_06.xlsx&amp;sheet=U0&amp;row=2720&amp;col=6&amp;number=4.6&amp;sourceID=14","4.6")</f>
        <v>4.6</v>
      </c>
      <c r="G2720" s="4" t="str">
        <f>HYPERLINK("http://141.218.60.56/~jnz1568/getInfo.php?workbook=14_06.xlsx&amp;sheet=U0&amp;row=2720&amp;col=7&amp;number=0.0395&amp;sourceID=14","0.0395")</f>
        <v>0.0395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HYPERLINK("http://141.218.60.56/~jnz1568/getInfo.php?workbook=14_06.xlsx&amp;sheet=U0&amp;row=2721&amp;col=6&amp;number=4.7&amp;sourceID=14","4.7")</f>
        <v>4.7</v>
      </c>
      <c r="G2721" s="4" t="str">
        <f>HYPERLINK("http://141.218.60.56/~jnz1568/getInfo.php?workbook=14_06.xlsx&amp;sheet=U0&amp;row=2721&amp;col=7&amp;number=0.0394&amp;sourceID=14","0.0394")</f>
        <v>0.0394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HYPERLINK("http://141.218.60.56/~jnz1568/getInfo.php?workbook=14_06.xlsx&amp;sheet=U0&amp;row=2722&amp;col=6&amp;number=4.8&amp;sourceID=14","4.8")</f>
        <v>4.8</v>
      </c>
      <c r="G2722" s="4" t="str">
        <f>HYPERLINK("http://141.218.60.56/~jnz1568/getInfo.php?workbook=14_06.xlsx&amp;sheet=U0&amp;row=2722&amp;col=7&amp;number=0.0393&amp;sourceID=14","0.0393")</f>
        <v>0.0393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HYPERLINK("http://141.218.60.56/~jnz1568/getInfo.php?workbook=14_06.xlsx&amp;sheet=U0&amp;row=2723&amp;col=6&amp;number=4.9&amp;sourceID=14","4.9")</f>
        <v>4.9</v>
      </c>
      <c r="G2723" s="4" t="str">
        <f>HYPERLINK("http://141.218.60.56/~jnz1568/getInfo.php?workbook=14_06.xlsx&amp;sheet=U0&amp;row=2723&amp;col=7&amp;number=0.0392&amp;sourceID=14","0.0392")</f>
        <v>0.0392</v>
      </c>
    </row>
    <row r="2724" spans="1:7">
      <c r="A2724" s="3">
        <v>14</v>
      </c>
      <c r="B2724" s="3">
        <v>6</v>
      </c>
      <c r="C2724" s="3">
        <v>4</v>
      </c>
      <c r="D2724" s="3">
        <v>9</v>
      </c>
      <c r="E2724" s="3">
        <v>1</v>
      </c>
      <c r="F2724" s="4" t="str">
        <f>HYPERLINK("http://141.218.60.56/~jnz1568/getInfo.php?workbook=14_06.xlsx&amp;sheet=U0&amp;row=2724&amp;col=6&amp;number=3&amp;sourceID=14","3")</f>
        <v>3</v>
      </c>
      <c r="G2724" s="4" t="str">
        <f>HYPERLINK("http://141.218.60.56/~jnz1568/getInfo.php?workbook=14_06.xlsx&amp;sheet=U0&amp;row=2724&amp;col=7&amp;number=0.0912&amp;sourceID=14","0.0912")</f>
        <v>0.0912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HYPERLINK("http://141.218.60.56/~jnz1568/getInfo.php?workbook=14_06.xlsx&amp;sheet=U0&amp;row=2725&amp;col=6&amp;number=3.1&amp;sourceID=14","3.1")</f>
        <v>3.1</v>
      </c>
      <c r="G2725" s="4" t="str">
        <f>HYPERLINK("http://141.218.60.56/~jnz1568/getInfo.php?workbook=14_06.xlsx&amp;sheet=U0&amp;row=2725&amp;col=7&amp;number=0.0912&amp;sourceID=14","0.0912")</f>
        <v>0.0912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HYPERLINK("http://141.218.60.56/~jnz1568/getInfo.php?workbook=14_06.xlsx&amp;sheet=U0&amp;row=2726&amp;col=6&amp;number=3.2&amp;sourceID=14","3.2")</f>
        <v>3.2</v>
      </c>
      <c r="G2726" s="4" t="str">
        <f>HYPERLINK("http://141.218.60.56/~jnz1568/getInfo.php?workbook=14_06.xlsx&amp;sheet=U0&amp;row=2726&amp;col=7&amp;number=0.0912&amp;sourceID=14","0.0912")</f>
        <v>0.0912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HYPERLINK("http://141.218.60.56/~jnz1568/getInfo.php?workbook=14_06.xlsx&amp;sheet=U0&amp;row=2727&amp;col=6&amp;number=3.3&amp;sourceID=14","3.3")</f>
        <v>3.3</v>
      </c>
      <c r="G2727" s="4" t="str">
        <f>HYPERLINK("http://141.218.60.56/~jnz1568/getInfo.php?workbook=14_06.xlsx&amp;sheet=U0&amp;row=2727&amp;col=7&amp;number=0.0912&amp;sourceID=14","0.0912")</f>
        <v>0.0912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HYPERLINK("http://141.218.60.56/~jnz1568/getInfo.php?workbook=14_06.xlsx&amp;sheet=U0&amp;row=2728&amp;col=6&amp;number=3.4&amp;sourceID=14","3.4")</f>
        <v>3.4</v>
      </c>
      <c r="G2728" s="4" t="str">
        <f>HYPERLINK("http://141.218.60.56/~jnz1568/getInfo.php?workbook=14_06.xlsx&amp;sheet=U0&amp;row=2728&amp;col=7&amp;number=0.0912&amp;sourceID=14","0.0912")</f>
        <v>0.0912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HYPERLINK("http://141.218.60.56/~jnz1568/getInfo.php?workbook=14_06.xlsx&amp;sheet=U0&amp;row=2729&amp;col=6&amp;number=3.5&amp;sourceID=14","3.5")</f>
        <v>3.5</v>
      </c>
      <c r="G2729" s="4" t="str">
        <f>HYPERLINK("http://141.218.60.56/~jnz1568/getInfo.php?workbook=14_06.xlsx&amp;sheet=U0&amp;row=2729&amp;col=7&amp;number=0.0912&amp;sourceID=14","0.0912")</f>
        <v>0.0912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HYPERLINK("http://141.218.60.56/~jnz1568/getInfo.php?workbook=14_06.xlsx&amp;sheet=U0&amp;row=2730&amp;col=6&amp;number=3.6&amp;sourceID=14","3.6")</f>
        <v>3.6</v>
      </c>
      <c r="G2730" s="4" t="str">
        <f>HYPERLINK("http://141.218.60.56/~jnz1568/getInfo.php?workbook=14_06.xlsx&amp;sheet=U0&amp;row=2730&amp;col=7&amp;number=0.0912&amp;sourceID=14","0.0912")</f>
        <v>0.0912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HYPERLINK("http://141.218.60.56/~jnz1568/getInfo.php?workbook=14_06.xlsx&amp;sheet=U0&amp;row=2731&amp;col=6&amp;number=3.7&amp;sourceID=14","3.7")</f>
        <v>3.7</v>
      </c>
      <c r="G2731" s="4" t="str">
        <f>HYPERLINK("http://141.218.60.56/~jnz1568/getInfo.php?workbook=14_06.xlsx&amp;sheet=U0&amp;row=2731&amp;col=7&amp;number=0.0911&amp;sourceID=14","0.0911")</f>
        <v>0.0911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HYPERLINK("http://141.218.60.56/~jnz1568/getInfo.php?workbook=14_06.xlsx&amp;sheet=U0&amp;row=2732&amp;col=6&amp;number=3.8&amp;sourceID=14","3.8")</f>
        <v>3.8</v>
      </c>
      <c r="G2732" s="4" t="str">
        <f>HYPERLINK("http://141.218.60.56/~jnz1568/getInfo.php?workbook=14_06.xlsx&amp;sheet=U0&amp;row=2732&amp;col=7&amp;number=0.0911&amp;sourceID=14","0.0911")</f>
        <v>0.0911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HYPERLINK("http://141.218.60.56/~jnz1568/getInfo.php?workbook=14_06.xlsx&amp;sheet=U0&amp;row=2733&amp;col=6&amp;number=3.9&amp;sourceID=14","3.9")</f>
        <v>3.9</v>
      </c>
      <c r="G2733" s="4" t="str">
        <f>HYPERLINK("http://141.218.60.56/~jnz1568/getInfo.php?workbook=14_06.xlsx&amp;sheet=U0&amp;row=2733&amp;col=7&amp;number=0.0911&amp;sourceID=14","0.0911")</f>
        <v>0.0911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HYPERLINK("http://141.218.60.56/~jnz1568/getInfo.php?workbook=14_06.xlsx&amp;sheet=U0&amp;row=2734&amp;col=6&amp;number=4&amp;sourceID=14","4")</f>
        <v>4</v>
      </c>
      <c r="G2734" s="4" t="str">
        <f>HYPERLINK("http://141.218.60.56/~jnz1568/getInfo.php?workbook=14_06.xlsx&amp;sheet=U0&amp;row=2734&amp;col=7&amp;number=0.0911&amp;sourceID=14","0.0911")</f>
        <v>0.0911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HYPERLINK("http://141.218.60.56/~jnz1568/getInfo.php?workbook=14_06.xlsx&amp;sheet=U0&amp;row=2735&amp;col=6&amp;number=4.1&amp;sourceID=14","4.1")</f>
        <v>4.1</v>
      </c>
      <c r="G2735" s="4" t="str">
        <f>HYPERLINK("http://141.218.60.56/~jnz1568/getInfo.php?workbook=14_06.xlsx&amp;sheet=U0&amp;row=2735&amp;col=7&amp;number=0.091&amp;sourceID=14","0.091")</f>
        <v>0.091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HYPERLINK("http://141.218.60.56/~jnz1568/getInfo.php?workbook=14_06.xlsx&amp;sheet=U0&amp;row=2736&amp;col=6&amp;number=4.2&amp;sourceID=14","4.2")</f>
        <v>4.2</v>
      </c>
      <c r="G2736" s="4" t="str">
        <f>HYPERLINK("http://141.218.60.56/~jnz1568/getInfo.php?workbook=14_06.xlsx&amp;sheet=U0&amp;row=2736&amp;col=7&amp;number=0.091&amp;sourceID=14","0.091")</f>
        <v>0.091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HYPERLINK("http://141.218.60.56/~jnz1568/getInfo.php?workbook=14_06.xlsx&amp;sheet=U0&amp;row=2737&amp;col=6&amp;number=4.3&amp;sourceID=14","4.3")</f>
        <v>4.3</v>
      </c>
      <c r="G2737" s="4" t="str">
        <f>HYPERLINK("http://141.218.60.56/~jnz1568/getInfo.php?workbook=14_06.xlsx&amp;sheet=U0&amp;row=2737&amp;col=7&amp;number=0.0909&amp;sourceID=14","0.0909")</f>
        <v>0.0909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HYPERLINK("http://141.218.60.56/~jnz1568/getInfo.php?workbook=14_06.xlsx&amp;sheet=U0&amp;row=2738&amp;col=6&amp;number=4.4&amp;sourceID=14","4.4")</f>
        <v>4.4</v>
      </c>
      <c r="G2738" s="4" t="str">
        <f>HYPERLINK("http://141.218.60.56/~jnz1568/getInfo.php?workbook=14_06.xlsx&amp;sheet=U0&amp;row=2738&amp;col=7&amp;number=0.0908&amp;sourceID=14","0.0908")</f>
        <v>0.0908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HYPERLINK("http://141.218.60.56/~jnz1568/getInfo.php?workbook=14_06.xlsx&amp;sheet=U0&amp;row=2739&amp;col=6&amp;number=4.5&amp;sourceID=14","4.5")</f>
        <v>4.5</v>
      </c>
      <c r="G2739" s="4" t="str">
        <f>HYPERLINK("http://141.218.60.56/~jnz1568/getInfo.php?workbook=14_06.xlsx&amp;sheet=U0&amp;row=2739&amp;col=7&amp;number=0.0907&amp;sourceID=14","0.0907")</f>
        <v>0.0907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HYPERLINK("http://141.218.60.56/~jnz1568/getInfo.php?workbook=14_06.xlsx&amp;sheet=U0&amp;row=2740&amp;col=6&amp;number=4.6&amp;sourceID=14","4.6")</f>
        <v>4.6</v>
      </c>
      <c r="G2740" s="4" t="str">
        <f>HYPERLINK("http://141.218.60.56/~jnz1568/getInfo.php?workbook=14_06.xlsx&amp;sheet=U0&amp;row=2740&amp;col=7&amp;number=0.0905&amp;sourceID=14","0.0905")</f>
        <v>0.0905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HYPERLINK("http://141.218.60.56/~jnz1568/getInfo.php?workbook=14_06.xlsx&amp;sheet=U0&amp;row=2741&amp;col=6&amp;number=4.7&amp;sourceID=14","4.7")</f>
        <v>4.7</v>
      </c>
      <c r="G2741" s="4" t="str">
        <f>HYPERLINK("http://141.218.60.56/~jnz1568/getInfo.php?workbook=14_06.xlsx&amp;sheet=U0&amp;row=2741&amp;col=7&amp;number=0.0904&amp;sourceID=14","0.0904")</f>
        <v>0.0904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HYPERLINK("http://141.218.60.56/~jnz1568/getInfo.php?workbook=14_06.xlsx&amp;sheet=U0&amp;row=2742&amp;col=6&amp;number=4.8&amp;sourceID=14","4.8")</f>
        <v>4.8</v>
      </c>
      <c r="G2742" s="4" t="str">
        <f>HYPERLINK("http://141.218.60.56/~jnz1568/getInfo.php?workbook=14_06.xlsx&amp;sheet=U0&amp;row=2742&amp;col=7&amp;number=0.0902&amp;sourceID=14","0.0902")</f>
        <v>0.0902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HYPERLINK("http://141.218.60.56/~jnz1568/getInfo.php?workbook=14_06.xlsx&amp;sheet=U0&amp;row=2743&amp;col=6&amp;number=4.9&amp;sourceID=14","4.9")</f>
        <v>4.9</v>
      </c>
      <c r="G2743" s="4" t="str">
        <f>HYPERLINK("http://141.218.60.56/~jnz1568/getInfo.php?workbook=14_06.xlsx&amp;sheet=U0&amp;row=2743&amp;col=7&amp;number=0.0899&amp;sourceID=14","0.0899")</f>
        <v>0.0899</v>
      </c>
    </row>
    <row r="2744" spans="1:7">
      <c r="A2744" s="3">
        <v>14</v>
      </c>
      <c r="B2744" s="3">
        <v>6</v>
      </c>
      <c r="C2744" s="3">
        <v>4</v>
      </c>
      <c r="D2744" s="3">
        <v>10</v>
      </c>
      <c r="E2744" s="3">
        <v>1</v>
      </c>
      <c r="F2744" s="4" t="str">
        <f>HYPERLINK("http://141.218.60.56/~jnz1568/getInfo.php?workbook=14_06.xlsx&amp;sheet=U0&amp;row=2744&amp;col=6&amp;number=3&amp;sourceID=14","3")</f>
        <v>3</v>
      </c>
      <c r="G2744" s="4" t="str">
        <f>HYPERLINK("http://141.218.60.56/~jnz1568/getInfo.php?workbook=14_06.xlsx&amp;sheet=U0&amp;row=2744&amp;col=7&amp;number=0.00453&amp;sourceID=14","0.00453")</f>
        <v>0.00453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HYPERLINK("http://141.218.60.56/~jnz1568/getInfo.php?workbook=14_06.xlsx&amp;sheet=U0&amp;row=2745&amp;col=6&amp;number=3.1&amp;sourceID=14","3.1")</f>
        <v>3.1</v>
      </c>
      <c r="G2745" s="4" t="str">
        <f>HYPERLINK("http://141.218.60.56/~jnz1568/getInfo.php?workbook=14_06.xlsx&amp;sheet=U0&amp;row=2745&amp;col=7&amp;number=0.00453&amp;sourceID=14","0.00453")</f>
        <v>0.00453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HYPERLINK("http://141.218.60.56/~jnz1568/getInfo.php?workbook=14_06.xlsx&amp;sheet=U0&amp;row=2746&amp;col=6&amp;number=3.2&amp;sourceID=14","3.2")</f>
        <v>3.2</v>
      </c>
      <c r="G2746" s="4" t="str">
        <f>HYPERLINK("http://141.218.60.56/~jnz1568/getInfo.php?workbook=14_06.xlsx&amp;sheet=U0&amp;row=2746&amp;col=7&amp;number=0.00453&amp;sourceID=14","0.00453")</f>
        <v>0.00453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HYPERLINK("http://141.218.60.56/~jnz1568/getInfo.php?workbook=14_06.xlsx&amp;sheet=U0&amp;row=2747&amp;col=6&amp;number=3.3&amp;sourceID=14","3.3")</f>
        <v>3.3</v>
      </c>
      <c r="G2747" s="4" t="str">
        <f>HYPERLINK("http://141.218.60.56/~jnz1568/getInfo.php?workbook=14_06.xlsx&amp;sheet=U0&amp;row=2747&amp;col=7&amp;number=0.00453&amp;sourceID=14","0.00453")</f>
        <v>0.00453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HYPERLINK("http://141.218.60.56/~jnz1568/getInfo.php?workbook=14_06.xlsx&amp;sheet=U0&amp;row=2748&amp;col=6&amp;number=3.4&amp;sourceID=14","3.4")</f>
        <v>3.4</v>
      </c>
      <c r="G2748" s="4" t="str">
        <f>HYPERLINK("http://141.218.60.56/~jnz1568/getInfo.php?workbook=14_06.xlsx&amp;sheet=U0&amp;row=2748&amp;col=7&amp;number=0.00453&amp;sourceID=14","0.00453")</f>
        <v>0.00453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HYPERLINK("http://141.218.60.56/~jnz1568/getInfo.php?workbook=14_06.xlsx&amp;sheet=U0&amp;row=2749&amp;col=6&amp;number=3.5&amp;sourceID=14","3.5")</f>
        <v>3.5</v>
      </c>
      <c r="G2749" s="4" t="str">
        <f>HYPERLINK("http://141.218.60.56/~jnz1568/getInfo.php?workbook=14_06.xlsx&amp;sheet=U0&amp;row=2749&amp;col=7&amp;number=0.00453&amp;sourceID=14","0.00453")</f>
        <v>0.00453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HYPERLINK("http://141.218.60.56/~jnz1568/getInfo.php?workbook=14_06.xlsx&amp;sheet=U0&amp;row=2750&amp;col=6&amp;number=3.6&amp;sourceID=14","3.6")</f>
        <v>3.6</v>
      </c>
      <c r="G2750" s="4" t="str">
        <f>HYPERLINK("http://141.218.60.56/~jnz1568/getInfo.php?workbook=14_06.xlsx&amp;sheet=U0&amp;row=2750&amp;col=7&amp;number=0.00453&amp;sourceID=14","0.00453")</f>
        <v>0.00453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HYPERLINK("http://141.218.60.56/~jnz1568/getInfo.php?workbook=14_06.xlsx&amp;sheet=U0&amp;row=2751&amp;col=6&amp;number=3.7&amp;sourceID=14","3.7")</f>
        <v>3.7</v>
      </c>
      <c r="G2751" s="4" t="str">
        <f>HYPERLINK("http://141.218.60.56/~jnz1568/getInfo.php?workbook=14_06.xlsx&amp;sheet=U0&amp;row=2751&amp;col=7&amp;number=0.00453&amp;sourceID=14","0.00453")</f>
        <v>0.00453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HYPERLINK("http://141.218.60.56/~jnz1568/getInfo.php?workbook=14_06.xlsx&amp;sheet=U0&amp;row=2752&amp;col=6&amp;number=3.8&amp;sourceID=14","3.8")</f>
        <v>3.8</v>
      </c>
      <c r="G2752" s="4" t="str">
        <f>HYPERLINK("http://141.218.60.56/~jnz1568/getInfo.php?workbook=14_06.xlsx&amp;sheet=U0&amp;row=2752&amp;col=7&amp;number=0.00453&amp;sourceID=14","0.00453")</f>
        <v>0.00453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HYPERLINK("http://141.218.60.56/~jnz1568/getInfo.php?workbook=14_06.xlsx&amp;sheet=U0&amp;row=2753&amp;col=6&amp;number=3.9&amp;sourceID=14","3.9")</f>
        <v>3.9</v>
      </c>
      <c r="G2753" s="4" t="str">
        <f>HYPERLINK("http://141.218.60.56/~jnz1568/getInfo.php?workbook=14_06.xlsx&amp;sheet=U0&amp;row=2753&amp;col=7&amp;number=0.00453&amp;sourceID=14","0.00453")</f>
        <v>0.00453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HYPERLINK("http://141.218.60.56/~jnz1568/getInfo.php?workbook=14_06.xlsx&amp;sheet=U0&amp;row=2754&amp;col=6&amp;number=4&amp;sourceID=14","4")</f>
        <v>4</v>
      </c>
      <c r="G2754" s="4" t="str">
        <f>HYPERLINK("http://141.218.60.56/~jnz1568/getInfo.php?workbook=14_06.xlsx&amp;sheet=U0&amp;row=2754&amp;col=7&amp;number=0.00453&amp;sourceID=14","0.00453")</f>
        <v>0.00453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HYPERLINK("http://141.218.60.56/~jnz1568/getInfo.php?workbook=14_06.xlsx&amp;sheet=U0&amp;row=2755&amp;col=6&amp;number=4.1&amp;sourceID=14","4.1")</f>
        <v>4.1</v>
      </c>
      <c r="G2755" s="4" t="str">
        <f>HYPERLINK("http://141.218.60.56/~jnz1568/getInfo.php?workbook=14_06.xlsx&amp;sheet=U0&amp;row=2755&amp;col=7&amp;number=0.00452&amp;sourceID=14","0.00452")</f>
        <v>0.00452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HYPERLINK("http://141.218.60.56/~jnz1568/getInfo.php?workbook=14_06.xlsx&amp;sheet=U0&amp;row=2756&amp;col=6&amp;number=4.2&amp;sourceID=14","4.2")</f>
        <v>4.2</v>
      </c>
      <c r="G2756" s="4" t="str">
        <f>HYPERLINK("http://141.218.60.56/~jnz1568/getInfo.php?workbook=14_06.xlsx&amp;sheet=U0&amp;row=2756&amp;col=7&amp;number=0.00452&amp;sourceID=14","0.00452")</f>
        <v>0.00452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HYPERLINK("http://141.218.60.56/~jnz1568/getInfo.php?workbook=14_06.xlsx&amp;sheet=U0&amp;row=2757&amp;col=6&amp;number=4.3&amp;sourceID=14","4.3")</f>
        <v>4.3</v>
      </c>
      <c r="G2757" s="4" t="str">
        <f>HYPERLINK("http://141.218.60.56/~jnz1568/getInfo.php?workbook=14_06.xlsx&amp;sheet=U0&amp;row=2757&amp;col=7&amp;number=0.00452&amp;sourceID=14","0.00452")</f>
        <v>0.00452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HYPERLINK("http://141.218.60.56/~jnz1568/getInfo.php?workbook=14_06.xlsx&amp;sheet=U0&amp;row=2758&amp;col=6&amp;number=4.4&amp;sourceID=14","4.4")</f>
        <v>4.4</v>
      </c>
      <c r="G2758" s="4" t="str">
        <f>HYPERLINK("http://141.218.60.56/~jnz1568/getInfo.php?workbook=14_06.xlsx&amp;sheet=U0&amp;row=2758&amp;col=7&amp;number=0.00451&amp;sourceID=14","0.00451")</f>
        <v>0.00451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HYPERLINK("http://141.218.60.56/~jnz1568/getInfo.php?workbook=14_06.xlsx&amp;sheet=U0&amp;row=2759&amp;col=6&amp;number=4.5&amp;sourceID=14","4.5")</f>
        <v>4.5</v>
      </c>
      <c r="G2759" s="4" t="str">
        <f>HYPERLINK("http://141.218.60.56/~jnz1568/getInfo.php?workbook=14_06.xlsx&amp;sheet=U0&amp;row=2759&amp;col=7&amp;number=0.0045&amp;sourceID=14","0.0045")</f>
        <v>0.0045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HYPERLINK("http://141.218.60.56/~jnz1568/getInfo.php?workbook=14_06.xlsx&amp;sheet=U0&amp;row=2760&amp;col=6&amp;number=4.6&amp;sourceID=14","4.6")</f>
        <v>4.6</v>
      </c>
      <c r="G2760" s="4" t="str">
        <f>HYPERLINK("http://141.218.60.56/~jnz1568/getInfo.php?workbook=14_06.xlsx&amp;sheet=U0&amp;row=2760&amp;col=7&amp;number=0.0045&amp;sourceID=14","0.0045")</f>
        <v>0.0045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HYPERLINK("http://141.218.60.56/~jnz1568/getInfo.php?workbook=14_06.xlsx&amp;sheet=U0&amp;row=2761&amp;col=6&amp;number=4.7&amp;sourceID=14","4.7")</f>
        <v>4.7</v>
      </c>
      <c r="G2761" s="4" t="str">
        <f>HYPERLINK("http://141.218.60.56/~jnz1568/getInfo.php?workbook=14_06.xlsx&amp;sheet=U0&amp;row=2761&amp;col=7&amp;number=0.00449&amp;sourceID=14","0.00449")</f>
        <v>0.00449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HYPERLINK("http://141.218.60.56/~jnz1568/getInfo.php?workbook=14_06.xlsx&amp;sheet=U0&amp;row=2762&amp;col=6&amp;number=4.8&amp;sourceID=14","4.8")</f>
        <v>4.8</v>
      </c>
      <c r="G2762" s="4" t="str">
        <f>HYPERLINK("http://141.218.60.56/~jnz1568/getInfo.php?workbook=14_06.xlsx&amp;sheet=U0&amp;row=2762&amp;col=7&amp;number=0.00447&amp;sourceID=14","0.00447")</f>
        <v>0.00447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HYPERLINK("http://141.218.60.56/~jnz1568/getInfo.php?workbook=14_06.xlsx&amp;sheet=U0&amp;row=2763&amp;col=6&amp;number=4.9&amp;sourceID=14","4.9")</f>
        <v>4.9</v>
      </c>
      <c r="G2763" s="4" t="str">
        <f>HYPERLINK("http://141.218.60.56/~jnz1568/getInfo.php?workbook=14_06.xlsx&amp;sheet=U0&amp;row=2763&amp;col=7&amp;number=0.00446&amp;sourceID=14","0.00446")</f>
        <v>0.00446</v>
      </c>
    </row>
    <row r="2764" spans="1:7">
      <c r="A2764" s="3">
        <v>14</v>
      </c>
      <c r="B2764" s="3">
        <v>6</v>
      </c>
      <c r="C2764" s="3">
        <v>4</v>
      </c>
      <c r="D2764" s="3">
        <v>11</v>
      </c>
      <c r="E2764" s="3">
        <v>1</v>
      </c>
      <c r="F2764" s="4" t="str">
        <f>HYPERLINK("http://141.218.60.56/~jnz1568/getInfo.php?workbook=14_06.xlsx&amp;sheet=U0&amp;row=2764&amp;col=6&amp;number=3&amp;sourceID=14","3")</f>
        <v>3</v>
      </c>
      <c r="G2764" s="4" t="str">
        <f>HYPERLINK("http://141.218.60.56/~jnz1568/getInfo.php?workbook=14_06.xlsx&amp;sheet=U0&amp;row=2764&amp;col=7&amp;number=0.0157&amp;sourceID=14","0.0157")</f>
        <v>0.0157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HYPERLINK("http://141.218.60.56/~jnz1568/getInfo.php?workbook=14_06.xlsx&amp;sheet=U0&amp;row=2765&amp;col=6&amp;number=3.1&amp;sourceID=14","3.1")</f>
        <v>3.1</v>
      </c>
      <c r="G2765" s="4" t="str">
        <f>HYPERLINK("http://141.218.60.56/~jnz1568/getInfo.php?workbook=14_06.xlsx&amp;sheet=U0&amp;row=2765&amp;col=7&amp;number=0.0157&amp;sourceID=14","0.0157")</f>
        <v>0.0157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HYPERLINK("http://141.218.60.56/~jnz1568/getInfo.php?workbook=14_06.xlsx&amp;sheet=U0&amp;row=2766&amp;col=6&amp;number=3.2&amp;sourceID=14","3.2")</f>
        <v>3.2</v>
      </c>
      <c r="G2766" s="4" t="str">
        <f>HYPERLINK("http://141.218.60.56/~jnz1568/getInfo.php?workbook=14_06.xlsx&amp;sheet=U0&amp;row=2766&amp;col=7&amp;number=0.0157&amp;sourceID=14","0.0157")</f>
        <v>0.0157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HYPERLINK("http://141.218.60.56/~jnz1568/getInfo.php?workbook=14_06.xlsx&amp;sheet=U0&amp;row=2767&amp;col=6&amp;number=3.3&amp;sourceID=14","3.3")</f>
        <v>3.3</v>
      </c>
      <c r="G2767" s="4" t="str">
        <f>HYPERLINK("http://141.218.60.56/~jnz1568/getInfo.php?workbook=14_06.xlsx&amp;sheet=U0&amp;row=2767&amp;col=7&amp;number=0.0157&amp;sourceID=14","0.0157")</f>
        <v>0.0157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HYPERLINK("http://141.218.60.56/~jnz1568/getInfo.php?workbook=14_06.xlsx&amp;sheet=U0&amp;row=2768&amp;col=6&amp;number=3.4&amp;sourceID=14","3.4")</f>
        <v>3.4</v>
      </c>
      <c r="G2768" s="4" t="str">
        <f>HYPERLINK("http://141.218.60.56/~jnz1568/getInfo.php?workbook=14_06.xlsx&amp;sheet=U0&amp;row=2768&amp;col=7&amp;number=0.0157&amp;sourceID=14","0.0157")</f>
        <v>0.0157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HYPERLINK("http://141.218.60.56/~jnz1568/getInfo.php?workbook=14_06.xlsx&amp;sheet=U0&amp;row=2769&amp;col=6&amp;number=3.5&amp;sourceID=14","3.5")</f>
        <v>3.5</v>
      </c>
      <c r="G2769" s="4" t="str">
        <f>HYPERLINK("http://141.218.60.56/~jnz1568/getInfo.php?workbook=14_06.xlsx&amp;sheet=U0&amp;row=2769&amp;col=7&amp;number=0.0157&amp;sourceID=14","0.0157")</f>
        <v>0.0157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HYPERLINK("http://141.218.60.56/~jnz1568/getInfo.php?workbook=14_06.xlsx&amp;sheet=U0&amp;row=2770&amp;col=6&amp;number=3.6&amp;sourceID=14","3.6")</f>
        <v>3.6</v>
      </c>
      <c r="G2770" s="4" t="str">
        <f>HYPERLINK("http://141.218.60.56/~jnz1568/getInfo.php?workbook=14_06.xlsx&amp;sheet=U0&amp;row=2770&amp;col=7&amp;number=0.0157&amp;sourceID=14","0.0157")</f>
        <v>0.0157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HYPERLINK("http://141.218.60.56/~jnz1568/getInfo.php?workbook=14_06.xlsx&amp;sheet=U0&amp;row=2771&amp;col=6&amp;number=3.7&amp;sourceID=14","3.7")</f>
        <v>3.7</v>
      </c>
      <c r="G2771" s="4" t="str">
        <f>HYPERLINK("http://141.218.60.56/~jnz1568/getInfo.php?workbook=14_06.xlsx&amp;sheet=U0&amp;row=2771&amp;col=7&amp;number=0.0157&amp;sourceID=14","0.0157")</f>
        <v>0.0157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HYPERLINK("http://141.218.60.56/~jnz1568/getInfo.php?workbook=14_06.xlsx&amp;sheet=U0&amp;row=2772&amp;col=6&amp;number=3.8&amp;sourceID=14","3.8")</f>
        <v>3.8</v>
      </c>
      <c r="G2772" s="4" t="str">
        <f>HYPERLINK("http://141.218.60.56/~jnz1568/getInfo.php?workbook=14_06.xlsx&amp;sheet=U0&amp;row=2772&amp;col=7&amp;number=0.0157&amp;sourceID=14","0.0157")</f>
        <v>0.0157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HYPERLINK("http://141.218.60.56/~jnz1568/getInfo.php?workbook=14_06.xlsx&amp;sheet=U0&amp;row=2773&amp;col=6&amp;number=3.9&amp;sourceID=14","3.9")</f>
        <v>3.9</v>
      </c>
      <c r="G2773" s="4" t="str">
        <f>HYPERLINK("http://141.218.60.56/~jnz1568/getInfo.php?workbook=14_06.xlsx&amp;sheet=U0&amp;row=2773&amp;col=7&amp;number=0.0157&amp;sourceID=14","0.0157")</f>
        <v>0.0157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HYPERLINK("http://141.218.60.56/~jnz1568/getInfo.php?workbook=14_06.xlsx&amp;sheet=U0&amp;row=2774&amp;col=6&amp;number=4&amp;sourceID=14","4")</f>
        <v>4</v>
      </c>
      <c r="G2774" s="4" t="str">
        <f>HYPERLINK("http://141.218.60.56/~jnz1568/getInfo.php?workbook=14_06.xlsx&amp;sheet=U0&amp;row=2774&amp;col=7&amp;number=0.0157&amp;sourceID=14","0.0157")</f>
        <v>0.0157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HYPERLINK("http://141.218.60.56/~jnz1568/getInfo.php?workbook=14_06.xlsx&amp;sheet=U0&amp;row=2775&amp;col=6&amp;number=4.1&amp;sourceID=14","4.1")</f>
        <v>4.1</v>
      </c>
      <c r="G2775" s="4" t="str">
        <f>HYPERLINK("http://141.218.60.56/~jnz1568/getInfo.php?workbook=14_06.xlsx&amp;sheet=U0&amp;row=2775&amp;col=7&amp;number=0.0157&amp;sourceID=14","0.0157")</f>
        <v>0.0157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HYPERLINK("http://141.218.60.56/~jnz1568/getInfo.php?workbook=14_06.xlsx&amp;sheet=U0&amp;row=2776&amp;col=6&amp;number=4.2&amp;sourceID=14","4.2")</f>
        <v>4.2</v>
      </c>
      <c r="G2776" s="4" t="str">
        <f>HYPERLINK("http://141.218.60.56/~jnz1568/getInfo.php?workbook=14_06.xlsx&amp;sheet=U0&amp;row=2776&amp;col=7&amp;number=0.0157&amp;sourceID=14","0.0157")</f>
        <v>0.0157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HYPERLINK("http://141.218.60.56/~jnz1568/getInfo.php?workbook=14_06.xlsx&amp;sheet=U0&amp;row=2777&amp;col=6&amp;number=4.3&amp;sourceID=14","4.3")</f>
        <v>4.3</v>
      </c>
      <c r="G2777" s="4" t="str">
        <f>HYPERLINK("http://141.218.60.56/~jnz1568/getInfo.php?workbook=14_06.xlsx&amp;sheet=U0&amp;row=2777&amp;col=7&amp;number=0.0157&amp;sourceID=14","0.0157")</f>
        <v>0.0157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HYPERLINK("http://141.218.60.56/~jnz1568/getInfo.php?workbook=14_06.xlsx&amp;sheet=U0&amp;row=2778&amp;col=6&amp;number=4.4&amp;sourceID=14","4.4")</f>
        <v>4.4</v>
      </c>
      <c r="G2778" s="4" t="str">
        <f>HYPERLINK("http://141.218.60.56/~jnz1568/getInfo.php?workbook=14_06.xlsx&amp;sheet=U0&amp;row=2778&amp;col=7&amp;number=0.0156&amp;sourceID=14","0.0156")</f>
        <v>0.0156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HYPERLINK("http://141.218.60.56/~jnz1568/getInfo.php?workbook=14_06.xlsx&amp;sheet=U0&amp;row=2779&amp;col=6&amp;number=4.5&amp;sourceID=14","4.5")</f>
        <v>4.5</v>
      </c>
      <c r="G2779" s="4" t="str">
        <f>HYPERLINK("http://141.218.60.56/~jnz1568/getInfo.php?workbook=14_06.xlsx&amp;sheet=U0&amp;row=2779&amp;col=7&amp;number=0.0156&amp;sourceID=14","0.0156")</f>
        <v>0.0156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HYPERLINK("http://141.218.60.56/~jnz1568/getInfo.php?workbook=14_06.xlsx&amp;sheet=U0&amp;row=2780&amp;col=6&amp;number=4.6&amp;sourceID=14","4.6")</f>
        <v>4.6</v>
      </c>
      <c r="G2780" s="4" t="str">
        <f>HYPERLINK("http://141.218.60.56/~jnz1568/getInfo.php?workbook=14_06.xlsx&amp;sheet=U0&amp;row=2780&amp;col=7&amp;number=0.0156&amp;sourceID=14","0.0156")</f>
        <v>0.0156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HYPERLINK("http://141.218.60.56/~jnz1568/getInfo.php?workbook=14_06.xlsx&amp;sheet=U0&amp;row=2781&amp;col=6&amp;number=4.7&amp;sourceID=14","4.7")</f>
        <v>4.7</v>
      </c>
      <c r="G2781" s="4" t="str">
        <f>HYPERLINK("http://141.218.60.56/~jnz1568/getInfo.php?workbook=14_06.xlsx&amp;sheet=U0&amp;row=2781&amp;col=7&amp;number=0.0156&amp;sourceID=14","0.0156")</f>
        <v>0.0156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HYPERLINK("http://141.218.60.56/~jnz1568/getInfo.php?workbook=14_06.xlsx&amp;sheet=U0&amp;row=2782&amp;col=6&amp;number=4.8&amp;sourceID=14","4.8")</f>
        <v>4.8</v>
      </c>
      <c r="G2782" s="4" t="str">
        <f>HYPERLINK("http://141.218.60.56/~jnz1568/getInfo.php?workbook=14_06.xlsx&amp;sheet=U0&amp;row=2782&amp;col=7&amp;number=0.0155&amp;sourceID=14","0.0155")</f>
        <v>0.0155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HYPERLINK("http://141.218.60.56/~jnz1568/getInfo.php?workbook=14_06.xlsx&amp;sheet=U0&amp;row=2783&amp;col=6&amp;number=4.9&amp;sourceID=14","4.9")</f>
        <v>4.9</v>
      </c>
      <c r="G2783" s="4" t="str">
        <f>HYPERLINK("http://141.218.60.56/~jnz1568/getInfo.php?workbook=14_06.xlsx&amp;sheet=U0&amp;row=2783&amp;col=7&amp;number=0.0155&amp;sourceID=14","0.0155")</f>
        <v>0.0155</v>
      </c>
    </row>
    <row r="2784" spans="1:7">
      <c r="A2784" s="3">
        <v>14</v>
      </c>
      <c r="B2784" s="3">
        <v>6</v>
      </c>
      <c r="C2784" s="3">
        <v>4</v>
      </c>
      <c r="D2784" s="3">
        <v>12</v>
      </c>
      <c r="E2784" s="3">
        <v>1</v>
      </c>
      <c r="F2784" s="4" t="str">
        <f>HYPERLINK("http://141.218.60.56/~jnz1568/getInfo.php?workbook=14_06.xlsx&amp;sheet=U0&amp;row=2784&amp;col=6&amp;number=3&amp;sourceID=14","3")</f>
        <v>3</v>
      </c>
      <c r="G2784" s="4" t="str">
        <f>HYPERLINK("http://141.218.60.56/~jnz1568/getInfo.php?workbook=14_06.xlsx&amp;sheet=U0&amp;row=2784&amp;col=7&amp;number=0.0271&amp;sourceID=14","0.0271")</f>
        <v>0.0271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HYPERLINK("http://141.218.60.56/~jnz1568/getInfo.php?workbook=14_06.xlsx&amp;sheet=U0&amp;row=2785&amp;col=6&amp;number=3.1&amp;sourceID=14","3.1")</f>
        <v>3.1</v>
      </c>
      <c r="G2785" s="4" t="str">
        <f>HYPERLINK("http://141.218.60.56/~jnz1568/getInfo.php?workbook=14_06.xlsx&amp;sheet=U0&amp;row=2785&amp;col=7&amp;number=0.0271&amp;sourceID=14","0.0271")</f>
        <v>0.0271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HYPERLINK("http://141.218.60.56/~jnz1568/getInfo.php?workbook=14_06.xlsx&amp;sheet=U0&amp;row=2786&amp;col=6&amp;number=3.2&amp;sourceID=14","3.2")</f>
        <v>3.2</v>
      </c>
      <c r="G2786" s="4" t="str">
        <f>HYPERLINK("http://141.218.60.56/~jnz1568/getInfo.php?workbook=14_06.xlsx&amp;sheet=U0&amp;row=2786&amp;col=7&amp;number=0.0271&amp;sourceID=14","0.0271")</f>
        <v>0.0271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HYPERLINK("http://141.218.60.56/~jnz1568/getInfo.php?workbook=14_06.xlsx&amp;sheet=U0&amp;row=2787&amp;col=6&amp;number=3.3&amp;sourceID=14","3.3")</f>
        <v>3.3</v>
      </c>
      <c r="G2787" s="4" t="str">
        <f>HYPERLINK("http://141.218.60.56/~jnz1568/getInfo.php?workbook=14_06.xlsx&amp;sheet=U0&amp;row=2787&amp;col=7&amp;number=0.0271&amp;sourceID=14","0.0271")</f>
        <v>0.0271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HYPERLINK("http://141.218.60.56/~jnz1568/getInfo.php?workbook=14_06.xlsx&amp;sheet=U0&amp;row=2788&amp;col=6&amp;number=3.4&amp;sourceID=14","3.4")</f>
        <v>3.4</v>
      </c>
      <c r="G2788" s="4" t="str">
        <f>HYPERLINK("http://141.218.60.56/~jnz1568/getInfo.php?workbook=14_06.xlsx&amp;sheet=U0&amp;row=2788&amp;col=7&amp;number=0.0271&amp;sourceID=14","0.0271")</f>
        <v>0.0271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HYPERLINK("http://141.218.60.56/~jnz1568/getInfo.php?workbook=14_06.xlsx&amp;sheet=U0&amp;row=2789&amp;col=6&amp;number=3.5&amp;sourceID=14","3.5")</f>
        <v>3.5</v>
      </c>
      <c r="G2789" s="4" t="str">
        <f>HYPERLINK("http://141.218.60.56/~jnz1568/getInfo.php?workbook=14_06.xlsx&amp;sheet=U0&amp;row=2789&amp;col=7&amp;number=0.0271&amp;sourceID=14","0.0271")</f>
        <v>0.0271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HYPERLINK("http://141.218.60.56/~jnz1568/getInfo.php?workbook=14_06.xlsx&amp;sheet=U0&amp;row=2790&amp;col=6&amp;number=3.6&amp;sourceID=14","3.6")</f>
        <v>3.6</v>
      </c>
      <c r="G2790" s="4" t="str">
        <f>HYPERLINK("http://141.218.60.56/~jnz1568/getInfo.php?workbook=14_06.xlsx&amp;sheet=U0&amp;row=2790&amp;col=7&amp;number=0.0271&amp;sourceID=14","0.0271")</f>
        <v>0.0271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HYPERLINK("http://141.218.60.56/~jnz1568/getInfo.php?workbook=14_06.xlsx&amp;sheet=U0&amp;row=2791&amp;col=6&amp;number=3.7&amp;sourceID=14","3.7")</f>
        <v>3.7</v>
      </c>
      <c r="G2791" s="4" t="str">
        <f>HYPERLINK("http://141.218.60.56/~jnz1568/getInfo.php?workbook=14_06.xlsx&amp;sheet=U0&amp;row=2791&amp;col=7&amp;number=0.0271&amp;sourceID=14","0.0271")</f>
        <v>0.0271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HYPERLINK("http://141.218.60.56/~jnz1568/getInfo.php?workbook=14_06.xlsx&amp;sheet=U0&amp;row=2792&amp;col=6&amp;number=3.8&amp;sourceID=14","3.8")</f>
        <v>3.8</v>
      </c>
      <c r="G2792" s="4" t="str">
        <f>HYPERLINK("http://141.218.60.56/~jnz1568/getInfo.php?workbook=14_06.xlsx&amp;sheet=U0&amp;row=2792&amp;col=7&amp;number=0.0271&amp;sourceID=14","0.0271")</f>
        <v>0.0271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HYPERLINK("http://141.218.60.56/~jnz1568/getInfo.php?workbook=14_06.xlsx&amp;sheet=U0&amp;row=2793&amp;col=6&amp;number=3.9&amp;sourceID=14","3.9")</f>
        <v>3.9</v>
      </c>
      <c r="G2793" s="4" t="str">
        <f>HYPERLINK("http://141.218.60.56/~jnz1568/getInfo.php?workbook=14_06.xlsx&amp;sheet=U0&amp;row=2793&amp;col=7&amp;number=0.0271&amp;sourceID=14","0.0271")</f>
        <v>0.0271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HYPERLINK("http://141.218.60.56/~jnz1568/getInfo.php?workbook=14_06.xlsx&amp;sheet=U0&amp;row=2794&amp;col=6&amp;number=4&amp;sourceID=14","4")</f>
        <v>4</v>
      </c>
      <c r="G2794" s="4" t="str">
        <f>HYPERLINK("http://141.218.60.56/~jnz1568/getInfo.php?workbook=14_06.xlsx&amp;sheet=U0&amp;row=2794&amp;col=7&amp;number=0.0271&amp;sourceID=14","0.0271")</f>
        <v>0.0271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HYPERLINK("http://141.218.60.56/~jnz1568/getInfo.php?workbook=14_06.xlsx&amp;sheet=U0&amp;row=2795&amp;col=6&amp;number=4.1&amp;sourceID=14","4.1")</f>
        <v>4.1</v>
      </c>
      <c r="G2795" s="4" t="str">
        <f>HYPERLINK("http://141.218.60.56/~jnz1568/getInfo.php?workbook=14_06.xlsx&amp;sheet=U0&amp;row=2795&amp;col=7&amp;number=0.027&amp;sourceID=14","0.027")</f>
        <v>0.027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HYPERLINK("http://141.218.60.56/~jnz1568/getInfo.php?workbook=14_06.xlsx&amp;sheet=U0&amp;row=2796&amp;col=6&amp;number=4.2&amp;sourceID=14","4.2")</f>
        <v>4.2</v>
      </c>
      <c r="G2796" s="4" t="str">
        <f>HYPERLINK("http://141.218.60.56/~jnz1568/getInfo.php?workbook=14_06.xlsx&amp;sheet=U0&amp;row=2796&amp;col=7&amp;number=0.027&amp;sourceID=14","0.027")</f>
        <v>0.027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HYPERLINK("http://141.218.60.56/~jnz1568/getInfo.php?workbook=14_06.xlsx&amp;sheet=U0&amp;row=2797&amp;col=6&amp;number=4.3&amp;sourceID=14","4.3")</f>
        <v>4.3</v>
      </c>
      <c r="G2797" s="4" t="str">
        <f>HYPERLINK("http://141.218.60.56/~jnz1568/getInfo.php?workbook=14_06.xlsx&amp;sheet=U0&amp;row=2797&amp;col=7&amp;number=0.027&amp;sourceID=14","0.027")</f>
        <v>0.027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HYPERLINK("http://141.218.60.56/~jnz1568/getInfo.php?workbook=14_06.xlsx&amp;sheet=U0&amp;row=2798&amp;col=6&amp;number=4.4&amp;sourceID=14","4.4")</f>
        <v>4.4</v>
      </c>
      <c r="G2798" s="4" t="str">
        <f>HYPERLINK("http://141.218.60.56/~jnz1568/getInfo.php?workbook=14_06.xlsx&amp;sheet=U0&amp;row=2798&amp;col=7&amp;number=0.027&amp;sourceID=14","0.027")</f>
        <v>0.027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HYPERLINK("http://141.218.60.56/~jnz1568/getInfo.php?workbook=14_06.xlsx&amp;sheet=U0&amp;row=2799&amp;col=6&amp;number=4.5&amp;sourceID=14","4.5")</f>
        <v>4.5</v>
      </c>
      <c r="G2799" s="4" t="str">
        <f>HYPERLINK("http://141.218.60.56/~jnz1568/getInfo.php?workbook=14_06.xlsx&amp;sheet=U0&amp;row=2799&amp;col=7&amp;number=0.0269&amp;sourceID=14","0.0269")</f>
        <v>0.0269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HYPERLINK("http://141.218.60.56/~jnz1568/getInfo.php?workbook=14_06.xlsx&amp;sheet=U0&amp;row=2800&amp;col=6&amp;number=4.6&amp;sourceID=14","4.6")</f>
        <v>4.6</v>
      </c>
      <c r="G2800" s="4" t="str">
        <f>HYPERLINK("http://141.218.60.56/~jnz1568/getInfo.php?workbook=14_06.xlsx&amp;sheet=U0&amp;row=2800&amp;col=7&amp;number=0.0269&amp;sourceID=14","0.0269")</f>
        <v>0.0269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HYPERLINK("http://141.218.60.56/~jnz1568/getInfo.php?workbook=14_06.xlsx&amp;sheet=U0&amp;row=2801&amp;col=6&amp;number=4.7&amp;sourceID=14","4.7")</f>
        <v>4.7</v>
      </c>
      <c r="G2801" s="4" t="str">
        <f>HYPERLINK("http://141.218.60.56/~jnz1568/getInfo.php?workbook=14_06.xlsx&amp;sheet=U0&amp;row=2801&amp;col=7&amp;number=0.0268&amp;sourceID=14","0.0268")</f>
        <v>0.0268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HYPERLINK("http://141.218.60.56/~jnz1568/getInfo.php?workbook=14_06.xlsx&amp;sheet=U0&amp;row=2802&amp;col=6&amp;number=4.8&amp;sourceID=14","4.8")</f>
        <v>4.8</v>
      </c>
      <c r="G2802" s="4" t="str">
        <f>HYPERLINK("http://141.218.60.56/~jnz1568/getInfo.php?workbook=14_06.xlsx&amp;sheet=U0&amp;row=2802&amp;col=7&amp;number=0.0268&amp;sourceID=14","0.0268")</f>
        <v>0.0268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HYPERLINK("http://141.218.60.56/~jnz1568/getInfo.php?workbook=14_06.xlsx&amp;sheet=U0&amp;row=2803&amp;col=6&amp;number=4.9&amp;sourceID=14","4.9")</f>
        <v>4.9</v>
      </c>
      <c r="G2803" s="4" t="str">
        <f>HYPERLINK("http://141.218.60.56/~jnz1568/getInfo.php?workbook=14_06.xlsx&amp;sheet=U0&amp;row=2803&amp;col=7&amp;number=0.0267&amp;sourceID=14","0.0267")</f>
        <v>0.0267</v>
      </c>
    </row>
    <row r="2804" spans="1:7">
      <c r="A2804" s="3">
        <v>14</v>
      </c>
      <c r="B2804" s="3">
        <v>6</v>
      </c>
      <c r="C2804" s="3">
        <v>4</v>
      </c>
      <c r="D2804" s="3">
        <v>13</v>
      </c>
      <c r="E2804" s="3">
        <v>1</v>
      </c>
      <c r="F2804" s="4" t="str">
        <f>HYPERLINK("http://141.218.60.56/~jnz1568/getInfo.php?workbook=14_06.xlsx&amp;sheet=U0&amp;row=2804&amp;col=6&amp;number=3&amp;sourceID=14","3")</f>
        <v>3</v>
      </c>
      <c r="G2804" s="4" t="str">
        <f>HYPERLINK("http://141.218.60.56/~jnz1568/getInfo.php?workbook=14_06.xlsx&amp;sheet=U0&amp;row=2804&amp;col=7&amp;number=2.24&amp;sourceID=14","2.24")</f>
        <v>2.24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HYPERLINK("http://141.218.60.56/~jnz1568/getInfo.php?workbook=14_06.xlsx&amp;sheet=U0&amp;row=2805&amp;col=6&amp;number=3.1&amp;sourceID=14","3.1")</f>
        <v>3.1</v>
      </c>
      <c r="G2805" s="4" t="str">
        <f>HYPERLINK("http://141.218.60.56/~jnz1568/getInfo.php?workbook=14_06.xlsx&amp;sheet=U0&amp;row=2805&amp;col=7&amp;number=2.24&amp;sourceID=14","2.24")</f>
        <v>2.24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HYPERLINK("http://141.218.60.56/~jnz1568/getInfo.php?workbook=14_06.xlsx&amp;sheet=U0&amp;row=2806&amp;col=6&amp;number=3.2&amp;sourceID=14","3.2")</f>
        <v>3.2</v>
      </c>
      <c r="G2806" s="4" t="str">
        <f>HYPERLINK("http://141.218.60.56/~jnz1568/getInfo.php?workbook=14_06.xlsx&amp;sheet=U0&amp;row=2806&amp;col=7&amp;number=2.24&amp;sourceID=14","2.24")</f>
        <v>2.24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HYPERLINK("http://141.218.60.56/~jnz1568/getInfo.php?workbook=14_06.xlsx&amp;sheet=U0&amp;row=2807&amp;col=6&amp;number=3.3&amp;sourceID=14","3.3")</f>
        <v>3.3</v>
      </c>
      <c r="G2807" s="4" t="str">
        <f>HYPERLINK("http://141.218.60.56/~jnz1568/getInfo.php?workbook=14_06.xlsx&amp;sheet=U0&amp;row=2807&amp;col=7&amp;number=2.24&amp;sourceID=14","2.24")</f>
        <v>2.24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HYPERLINK("http://141.218.60.56/~jnz1568/getInfo.php?workbook=14_06.xlsx&amp;sheet=U0&amp;row=2808&amp;col=6&amp;number=3.4&amp;sourceID=14","3.4")</f>
        <v>3.4</v>
      </c>
      <c r="G2808" s="4" t="str">
        <f>HYPERLINK("http://141.218.60.56/~jnz1568/getInfo.php?workbook=14_06.xlsx&amp;sheet=U0&amp;row=2808&amp;col=7&amp;number=2.24&amp;sourceID=14","2.24")</f>
        <v>2.24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HYPERLINK("http://141.218.60.56/~jnz1568/getInfo.php?workbook=14_06.xlsx&amp;sheet=U0&amp;row=2809&amp;col=6&amp;number=3.5&amp;sourceID=14","3.5")</f>
        <v>3.5</v>
      </c>
      <c r="G2809" s="4" t="str">
        <f>HYPERLINK("http://141.218.60.56/~jnz1568/getInfo.php?workbook=14_06.xlsx&amp;sheet=U0&amp;row=2809&amp;col=7&amp;number=2.24&amp;sourceID=14","2.24")</f>
        <v>2.24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HYPERLINK("http://141.218.60.56/~jnz1568/getInfo.php?workbook=14_06.xlsx&amp;sheet=U0&amp;row=2810&amp;col=6&amp;number=3.6&amp;sourceID=14","3.6")</f>
        <v>3.6</v>
      </c>
      <c r="G2810" s="4" t="str">
        <f>HYPERLINK("http://141.218.60.56/~jnz1568/getInfo.php?workbook=14_06.xlsx&amp;sheet=U0&amp;row=2810&amp;col=7&amp;number=2.24&amp;sourceID=14","2.24")</f>
        <v>2.24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HYPERLINK("http://141.218.60.56/~jnz1568/getInfo.php?workbook=14_06.xlsx&amp;sheet=U0&amp;row=2811&amp;col=6&amp;number=3.7&amp;sourceID=14","3.7")</f>
        <v>3.7</v>
      </c>
      <c r="G2811" s="4" t="str">
        <f>HYPERLINK("http://141.218.60.56/~jnz1568/getInfo.php?workbook=14_06.xlsx&amp;sheet=U0&amp;row=2811&amp;col=7&amp;number=2.24&amp;sourceID=14","2.24")</f>
        <v>2.24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HYPERLINK("http://141.218.60.56/~jnz1568/getInfo.php?workbook=14_06.xlsx&amp;sheet=U0&amp;row=2812&amp;col=6&amp;number=3.8&amp;sourceID=14","3.8")</f>
        <v>3.8</v>
      </c>
      <c r="G2812" s="4" t="str">
        <f>HYPERLINK("http://141.218.60.56/~jnz1568/getInfo.php?workbook=14_06.xlsx&amp;sheet=U0&amp;row=2812&amp;col=7&amp;number=2.24&amp;sourceID=14","2.24")</f>
        <v>2.24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HYPERLINK("http://141.218.60.56/~jnz1568/getInfo.php?workbook=14_06.xlsx&amp;sheet=U0&amp;row=2813&amp;col=6&amp;number=3.9&amp;sourceID=14","3.9")</f>
        <v>3.9</v>
      </c>
      <c r="G2813" s="4" t="str">
        <f>HYPERLINK("http://141.218.60.56/~jnz1568/getInfo.php?workbook=14_06.xlsx&amp;sheet=U0&amp;row=2813&amp;col=7&amp;number=2.25&amp;sourceID=14","2.25")</f>
        <v>2.25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HYPERLINK("http://141.218.60.56/~jnz1568/getInfo.php?workbook=14_06.xlsx&amp;sheet=U0&amp;row=2814&amp;col=6&amp;number=4&amp;sourceID=14","4")</f>
        <v>4</v>
      </c>
      <c r="G2814" s="4" t="str">
        <f>HYPERLINK("http://141.218.60.56/~jnz1568/getInfo.php?workbook=14_06.xlsx&amp;sheet=U0&amp;row=2814&amp;col=7&amp;number=2.25&amp;sourceID=14","2.25")</f>
        <v>2.25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HYPERLINK("http://141.218.60.56/~jnz1568/getInfo.php?workbook=14_06.xlsx&amp;sheet=U0&amp;row=2815&amp;col=6&amp;number=4.1&amp;sourceID=14","4.1")</f>
        <v>4.1</v>
      </c>
      <c r="G2815" s="4" t="str">
        <f>HYPERLINK("http://141.218.60.56/~jnz1568/getInfo.php?workbook=14_06.xlsx&amp;sheet=U0&amp;row=2815&amp;col=7&amp;number=2.25&amp;sourceID=14","2.25")</f>
        <v>2.25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HYPERLINK("http://141.218.60.56/~jnz1568/getInfo.php?workbook=14_06.xlsx&amp;sheet=U0&amp;row=2816&amp;col=6&amp;number=4.2&amp;sourceID=14","4.2")</f>
        <v>4.2</v>
      </c>
      <c r="G2816" s="4" t="str">
        <f>HYPERLINK("http://141.218.60.56/~jnz1568/getInfo.php?workbook=14_06.xlsx&amp;sheet=U0&amp;row=2816&amp;col=7&amp;number=2.25&amp;sourceID=14","2.25")</f>
        <v>2.25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HYPERLINK("http://141.218.60.56/~jnz1568/getInfo.php?workbook=14_06.xlsx&amp;sheet=U0&amp;row=2817&amp;col=6&amp;number=4.3&amp;sourceID=14","4.3")</f>
        <v>4.3</v>
      </c>
      <c r="G2817" s="4" t="str">
        <f>HYPERLINK("http://141.218.60.56/~jnz1568/getInfo.php?workbook=14_06.xlsx&amp;sheet=U0&amp;row=2817&amp;col=7&amp;number=2.26&amp;sourceID=14","2.26")</f>
        <v>2.26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HYPERLINK("http://141.218.60.56/~jnz1568/getInfo.php?workbook=14_06.xlsx&amp;sheet=U0&amp;row=2818&amp;col=6&amp;number=4.4&amp;sourceID=14","4.4")</f>
        <v>4.4</v>
      </c>
      <c r="G2818" s="4" t="str">
        <f>HYPERLINK("http://141.218.60.56/~jnz1568/getInfo.php?workbook=14_06.xlsx&amp;sheet=U0&amp;row=2818&amp;col=7&amp;number=2.26&amp;sourceID=14","2.26")</f>
        <v>2.26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HYPERLINK("http://141.218.60.56/~jnz1568/getInfo.php?workbook=14_06.xlsx&amp;sheet=U0&amp;row=2819&amp;col=6&amp;number=4.5&amp;sourceID=14","4.5")</f>
        <v>4.5</v>
      </c>
      <c r="G2819" s="4" t="str">
        <f>HYPERLINK("http://141.218.60.56/~jnz1568/getInfo.php?workbook=14_06.xlsx&amp;sheet=U0&amp;row=2819&amp;col=7&amp;number=2.27&amp;sourceID=14","2.27")</f>
        <v>2.27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HYPERLINK("http://141.218.60.56/~jnz1568/getInfo.php?workbook=14_06.xlsx&amp;sheet=U0&amp;row=2820&amp;col=6&amp;number=4.6&amp;sourceID=14","4.6")</f>
        <v>4.6</v>
      </c>
      <c r="G2820" s="4" t="str">
        <f>HYPERLINK("http://141.218.60.56/~jnz1568/getInfo.php?workbook=14_06.xlsx&amp;sheet=U0&amp;row=2820&amp;col=7&amp;number=2.28&amp;sourceID=14","2.28")</f>
        <v>2.28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HYPERLINK("http://141.218.60.56/~jnz1568/getInfo.php?workbook=14_06.xlsx&amp;sheet=U0&amp;row=2821&amp;col=6&amp;number=4.7&amp;sourceID=14","4.7")</f>
        <v>4.7</v>
      </c>
      <c r="G2821" s="4" t="str">
        <f>HYPERLINK("http://141.218.60.56/~jnz1568/getInfo.php?workbook=14_06.xlsx&amp;sheet=U0&amp;row=2821&amp;col=7&amp;number=2.29&amp;sourceID=14","2.29")</f>
        <v>2.29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HYPERLINK("http://141.218.60.56/~jnz1568/getInfo.php?workbook=14_06.xlsx&amp;sheet=U0&amp;row=2822&amp;col=6&amp;number=4.8&amp;sourceID=14","4.8")</f>
        <v>4.8</v>
      </c>
      <c r="G2822" s="4" t="str">
        <f>HYPERLINK("http://141.218.60.56/~jnz1568/getInfo.php?workbook=14_06.xlsx&amp;sheet=U0&amp;row=2822&amp;col=7&amp;number=2.3&amp;sourceID=14","2.3")</f>
        <v>2.3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HYPERLINK("http://141.218.60.56/~jnz1568/getInfo.php?workbook=14_06.xlsx&amp;sheet=U0&amp;row=2823&amp;col=6&amp;number=4.9&amp;sourceID=14","4.9")</f>
        <v>4.9</v>
      </c>
      <c r="G2823" s="4" t="str">
        <f>HYPERLINK("http://141.218.60.56/~jnz1568/getInfo.php?workbook=14_06.xlsx&amp;sheet=U0&amp;row=2823&amp;col=7&amp;number=2.31&amp;sourceID=14","2.31")</f>
        <v>2.31</v>
      </c>
    </row>
    <row r="2824" spans="1:7">
      <c r="A2824" s="3">
        <v>14</v>
      </c>
      <c r="B2824" s="3">
        <v>6</v>
      </c>
      <c r="C2824" s="3">
        <v>4</v>
      </c>
      <c r="D2824" s="3">
        <v>14</v>
      </c>
      <c r="E2824" s="3">
        <v>1</v>
      </c>
      <c r="F2824" s="4" t="str">
        <f>HYPERLINK("http://141.218.60.56/~jnz1568/getInfo.php?workbook=14_06.xlsx&amp;sheet=U0&amp;row=2824&amp;col=6&amp;number=3&amp;sourceID=14","3")</f>
        <v>3</v>
      </c>
      <c r="G2824" s="4" t="str">
        <f>HYPERLINK("http://141.218.60.56/~jnz1568/getInfo.php?workbook=14_06.xlsx&amp;sheet=U0&amp;row=2824&amp;col=7&amp;number=0.00108&amp;sourceID=14","0.00108")</f>
        <v>0.00108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HYPERLINK("http://141.218.60.56/~jnz1568/getInfo.php?workbook=14_06.xlsx&amp;sheet=U0&amp;row=2825&amp;col=6&amp;number=3.1&amp;sourceID=14","3.1")</f>
        <v>3.1</v>
      </c>
      <c r="G2825" s="4" t="str">
        <f>HYPERLINK("http://141.218.60.56/~jnz1568/getInfo.php?workbook=14_06.xlsx&amp;sheet=U0&amp;row=2825&amp;col=7&amp;number=0.00108&amp;sourceID=14","0.00108")</f>
        <v>0.00108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HYPERLINK("http://141.218.60.56/~jnz1568/getInfo.php?workbook=14_06.xlsx&amp;sheet=U0&amp;row=2826&amp;col=6&amp;number=3.2&amp;sourceID=14","3.2")</f>
        <v>3.2</v>
      </c>
      <c r="G2826" s="4" t="str">
        <f>HYPERLINK("http://141.218.60.56/~jnz1568/getInfo.php?workbook=14_06.xlsx&amp;sheet=U0&amp;row=2826&amp;col=7&amp;number=0.00108&amp;sourceID=14","0.00108")</f>
        <v>0.00108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HYPERLINK("http://141.218.60.56/~jnz1568/getInfo.php?workbook=14_06.xlsx&amp;sheet=U0&amp;row=2827&amp;col=6&amp;number=3.3&amp;sourceID=14","3.3")</f>
        <v>3.3</v>
      </c>
      <c r="G2827" s="4" t="str">
        <f>HYPERLINK("http://141.218.60.56/~jnz1568/getInfo.php?workbook=14_06.xlsx&amp;sheet=U0&amp;row=2827&amp;col=7&amp;number=0.00108&amp;sourceID=14","0.00108")</f>
        <v>0.00108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HYPERLINK("http://141.218.60.56/~jnz1568/getInfo.php?workbook=14_06.xlsx&amp;sheet=U0&amp;row=2828&amp;col=6&amp;number=3.4&amp;sourceID=14","3.4")</f>
        <v>3.4</v>
      </c>
      <c r="G2828" s="4" t="str">
        <f>HYPERLINK("http://141.218.60.56/~jnz1568/getInfo.php?workbook=14_06.xlsx&amp;sheet=U0&amp;row=2828&amp;col=7&amp;number=0.00108&amp;sourceID=14","0.00108")</f>
        <v>0.00108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HYPERLINK("http://141.218.60.56/~jnz1568/getInfo.php?workbook=14_06.xlsx&amp;sheet=U0&amp;row=2829&amp;col=6&amp;number=3.5&amp;sourceID=14","3.5")</f>
        <v>3.5</v>
      </c>
      <c r="G2829" s="4" t="str">
        <f>HYPERLINK("http://141.218.60.56/~jnz1568/getInfo.php?workbook=14_06.xlsx&amp;sheet=U0&amp;row=2829&amp;col=7&amp;number=0.00108&amp;sourceID=14","0.00108")</f>
        <v>0.00108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HYPERLINK("http://141.218.60.56/~jnz1568/getInfo.php?workbook=14_06.xlsx&amp;sheet=U0&amp;row=2830&amp;col=6&amp;number=3.6&amp;sourceID=14","3.6")</f>
        <v>3.6</v>
      </c>
      <c r="G2830" s="4" t="str">
        <f>HYPERLINK("http://141.218.60.56/~jnz1568/getInfo.php?workbook=14_06.xlsx&amp;sheet=U0&amp;row=2830&amp;col=7&amp;number=0.00108&amp;sourceID=14","0.00108")</f>
        <v>0.00108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HYPERLINK("http://141.218.60.56/~jnz1568/getInfo.php?workbook=14_06.xlsx&amp;sheet=U0&amp;row=2831&amp;col=6&amp;number=3.7&amp;sourceID=14","3.7")</f>
        <v>3.7</v>
      </c>
      <c r="G2831" s="4" t="str">
        <f>HYPERLINK("http://141.218.60.56/~jnz1568/getInfo.php?workbook=14_06.xlsx&amp;sheet=U0&amp;row=2831&amp;col=7&amp;number=0.00108&amp;sourceID=14","0.00108")</f>
        <v>0.00108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HYPERLINK("http://141.218.60.56/~jnz1568/getInfo.php?workbook=14_06.xlsx&amp;sheet=U0&amp;row=2832&amp;col=6&amp;number=3.8&amp;sourceID=14","3.8")</f>
        <v>3.8</v>
      </c>
      <c r="G2832" s="4" t="str">
        <f>HYPERLINK("http://141.218.60.56/~jnz1568/getInfo.php?workbook=14_06.xlsx&amp;sheet=U0&amp;row=2832&amp;col=7&amp;number=0.00108&amp;sourceID=14","0.00108")</f>
        <v>0.00108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HYPERLINK("http://141.218.60.56/~jnz1568/getInfo.php?workbook=14_06.xlsx&amp;sheet=U0&amp;row=2833&amp;col=6&amp;number=3.9&amp;sourceID=14","3.9")</f>
        <v>3.9</v>
      </c>
      <c r="G2833" s="4" t="str">
        <f>HYPERLINK("http://141.218.60.56/~jnz1568/getInfo.php?workbook=14_06.xlsx&amp;sheet=U0&amp;row=2833&amp;col=7&amp;number=0.00108&amp;sourceID=14","0.00108")</f>
        <v>0.00108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HYPERLINK("http://141.218.60.56/~jnz1568/getInfo.php?workbook=14_06.xlsx&amp;sheet=U0&amp;row=2834&amp;col=6&amp;number=4&amp;sourceID=14","4")</f>
        <v>4</v>
      </c>
      <c r="G2834" s="4" t="str">
        <f>HYPERLINK("http://141.218.60.56/~jnz1568/getInfo.php?workbook=14_06.xlsx&amp;sheet=U0&amp;row=2834&amp;col=7&amp;number=0.00108&amp;sourceID=14","0.00108")</f>
        <v>0.00108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HYPERLINK("http://141.218.60.56/~jnz1568/getInfo.php?workbook=14_06.xlsx&amp;sheet=U0&amp;row=2835&amp;col=6&amp;number=4.1&amp;sourceID=14","4.1")</f>
        <v>4.1</v>
      </c>
      <c r="G2835" s="4" t="str">
        <f>HYPERLINK("http://141.218.60.56/~jnz1568/getInfo.php?workbook=14_06.xlsx&amp;sheet=U0&amp;row=2835&amp;col=7&amp;number=0.00108&amp;sourceID=14","0.00108")</f>
        <v>0.00108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HYPERLINK("http://141.218.60.56/~jnz1568/getInfo.php?workbook=14_06.xlsx&amp;sheet=U0&amp;row=2836&amp;col=6&amp;number=4.2&amp;sourceID=14","4.2")</f>
        <v>4.2</v>
      </c>
      <c r="G2836" s="4" t="str">
        <f>HYPERLINK("http://141.218.60.56/~jnz1568/getInfo.php?workbook=14_06.xlsx&amp;sheet=U0&amp;row=2836&amp;col=7&amp;number=0.00108&amp;sourceID=14","0.00108")</f>
        <v>0.00108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HYPERLINK("http://141.218.60.56/~jnz1568/getInfo.php?workbook=14_06.xlsx&amp;sheet=U0&amp;row=2837&amp;col=6&amp;number=4.3&amp;sourceID=14","4.3")</f>
        <v>4.3</v>
      </c>
      <c r="G2837" s="4" t="str">
        <f>HYPERLINK("http://141.218.60.56/~jnz1568/getInfo.php?workbook=14_06.xlsx&amp;sheet=U0&amp;row=2837&amp;col=7&amp;number=0.00108&amp;sourceID=14","0.00108")</f>
        <v>0.00108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HYPERLINK("http://141.218.60.56/~jnz1568/getInfo.php?workbook=14_06.xlsx&amp;sheet=U0&amp;row=2838&amp;col=6&amp;number=4.4&amp;sourceID=14","4.4")</f>
        <v>4.4</v>
      </c>
      <c r="G2838" s="4" t="str">
        <f>HYPERLINK("http://141.218.60.56/~jnz1568/getInfo.php?workbook=14_06.xlsx&amp;sheet=U0&amp;row=2838&amp;col=7&amp;number=0.00108&amp;sourceID=14","0.00108")</f>
        <v>0.00108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HYPERLINK("http://141.218.60.56/~jnz1568/getInfo.php?workbook=14_06.xlsx&amp;sheet=U0&amp;row=2839&amp;col=6&amp;number=4.5&amp;sourceID=14","4.5")</f>
        <v>4.5</v>
      </c>
      <c r="G2839" s="4" t="str">
        <f>HYPERLINK("http://141.218.60.56/~jnz1568/getInfo.php?workbook=14_06.xlsx&amp;sheet=U0&amp;row=2839&amp;col=7&amp;number=0.00108&amp;sourceID=14","0.00108")</f>
        <v>0.00108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HYPERLINK("http://141.218.60.56/~jnz1568/getInfo.php?workbook=14_06.xlsx&amp;sheet=U0&amp;row=2840&amp;col=6&amp;number=4.6&amp;sourceID=14","4.6")</f>
        <v>4.6</v>
      </c>
      <c r="G2840" s="4" t="str">
        <f>HYPERLINK("http://141.218.60.56/~jnz1568/getInfo.php?workbook=14_06.xlsx&amp;sheet=U0&amp;row=2840&amp;col=7&amp;number=0.00108&amp;sourceID=14","0.00108")</f>
        <v>0.00108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HYPERLINK("http://141.218.60.56/~jnz1568/getInfo.php?workbook=14_06.xlsx&amp;sheet=U0&amp;row=2841&amp;col=6&amp;number=4.7&amp;sourceID=14","4.7")</f>
        <v>4.7</v>
      </c>
      <c r="G2841" s="4" t="str">
        <f>HYPERLINK("http://141.218.60.56/~jnz1568/getInfo.php?workbook=14_06.xlsx&amp;sheet=U0&amp;row=2841&amp;col=7&amp;number=0.00108&amp;sourceID=14","0.00108")</f>
        <v>0.00108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HYPERLINK("http://141.218.60.56/~jnz1568/getInfo.php?workbook=14_06.xlsx&amp;sheet=U0&amp;row=2842&amp;col=6&amp;number=4.8&amp;sourceID=14","4.8")</f>
        <v>4.8</v>
      </c>
      <c r="G2842" s="4" t="str">
        <f>HYPERLINK("http://141.218.60.56/~jnz1568/getInfo.php?workbook=14_06.xlsx&amp;sheet=U0&amp;row=2842&amp;col=7&amp;number=0.00109&amp;sourceID=14","0.00109")</f>
        <v>0.00109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HYPERLINK("http://141.218.60.56/~jnz1568/getInfo.php?workbook=14_06.xlsx&amp;sheet=U0&amp;row=2843&amp;col=6&amp;number=4.9&amp;sourceID=14","4.9")</f>
        <v>4.9</v>
      </c>
      <c r="G2843" s="4" t="str">
        <f>HYPERLINK("http://141.218.60.56/~jnz1568/getInfo.php?workbook=14_06.xlsx&amp;sheet=U0&amp;row=2843&amp;col=7&amp;number=0.00109&amp;sourceID=14","0.00109")</f>
        <v>0.00109</v>
      </c>
    </row>
    <row r="2844" spans="1:7">
      <c r="A2844" s="3">
        <v>14</v>
      </c>
      <c r="B2844" s="3">
        <v>6</v>
      </c>
      <c r="C2844" s="3">
        <v>4</v>
      </c>
      <c r="D2844" s="3">
        <v>15</v>
      </c>
      <c r="E2844" s="3">
        <v>1</v>
      </c>
      <c r="F2844" s="4" t="str">
        <f>HYPERLINK("http://141.218.60.56/~jnz1568/getInfo.php?workbook=14_06.xlsx&amp;sheet=U0&amp;row=2844&amp;col=6&amp;number=3&amp;sourceID=14","3")</f>
        <v>3</v>
      </c>
      <c r="G2844" s="4" t="str">
        <f>HYPERLINK("http://141.218.60.56/~jnz1568/getInfo.php?workbook=14_06.xlsx&amp;sheet=U0&amp;row=2844&amp;col=7&amp;number=1.24&amp;sourceID=14","1.24")</f>
        <v>1.24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HYPERLINK("http://141.218.60.56/~jnz1568/getInfo.php?workbook=14_06.xlsx&amp;sheet=U0&amp;row=2845&amp;col=6&amp;number=3.1&amp;sourceID=14","3.1")</f>
        <v>3.1</v>
      </c>
      <c r="G2845" s="4" t="str">
        <f>HYPERLINK("http://141.218.60.56/~jnz1568/getInfo.php?workbook=14_06.xlsx&amp;sheet=U0&amp;row=2845&amp;col=7&amp;number=1.24&amp;sourceID=14","1.24")</f>
        <v>1.24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HYPERLINK("http://141.218.60.56/~jnz1568/getInfo.php?workbook=14_06.xlsx&amp;sheet=U0&amp;row=2846&amp;col=6&amp;number=3.2&amp;sourceID=14","3.2")</f>
        <v>3.2</v>
      </c>
      <c r="G2846" s="4" t="str">
        <f>HYPERLINK("http://141.218.60.56/~jnz1568/getInfo.php?workbook=14_06.xlsx&amp;sheet=U0&amp;row=2846&amp;col=7&amp;number=1.24&amp;sourceID=14","1.24")</f>
        <v>1.24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HYPERLINK("http://141.218.60.56/~jnz1568/getInfo.php?workbook=14_06.xlsx&amp;sheet=U0&amp;row=2847&amp;col=6&amp;number=3.3&amp;sourceID=14","3.3")</f>
        <v>3.3</v>
      </c>
      <c r="G2847" s="4" t="str">
        <f>HYPERLINK("http://141.218.60.56/~jnz1568/getInfo.php?workbook=14_06.xlsx&amp;sheet=U0&amp;row=2847&amp;col=7&amp;number=1.24&amp;sourceID=14","1.24")</f>
        <v>1.24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HYPERLINK("http://141.218.60.56/~jnz1568/getInfo.php?workbook=14_06.xlsx&amp;sheet=U0&amp;row=2848&amp;col=6&amp;number=3.4&amp;sourceID=14","3.4")</f>
        <v>3.4</v>
      </c>
      <c r="G2848" s="4" t="str">
        <f>HYPERLINK("http://141.218.60.56/~jnz1568/getInfo.php?workbook=14_06.xlsx&amp;sheet=U0&amp;row=2848&amp;col=7&amp;number=1.24&amp;sourceID=14","1.24")</f>
        <v>1.24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HYPERLINK("http://141.218.60.56/~jnz1568/getInfo.php?workbook=14_06.xlsx&amp;sheet=U0&amp;row=2849&amp;col=6&amp;number=3.5&amp;sourceID=14","3.5")</f>
        <v>3.5</v>
      </c>
      <c r="G2849" s="4" t="str">
        <f>HYPERLINK("http://141.218.60.56/~jnz1568/getInfo.php?workbook=14_06.xlsx&amp;sheet=U0&amp;row=2849&amp;col=7&amp;number=1.24&amp;sourceID=14","1.24")</f>
        <v>1.24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HYPERLINK("http://141.218.60.56/~jnz1568/getInfo.php?workbook=14_06.xlsx&amp;sheet=U0&amp;row=2850&amp;col=6&amp;number=3.6&amp;sourceID=14","3.6")</f>
        <v>3.6</v>
      </c>
      <c r="G2850" s="4" t="str">
        <f>HYPERLINK("http://141.218.60.56/~jnz1568/getInfo.php?workbook=14_06.xlsx&amp;sheet=U0&amp;row=2850&amp;col=7&amp;number=1.24&amp;sourceID=14","1.24")</f>
        <v>1.24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HYPERLINK("http://141.218.60.56/~jnz1568/getInfo.php?workbook=14_06.xlsx&amp;sheet=U0&amp;row=2851&amp;col=6&amp;number=3.7&amp;sourceID=14","3.7")</f>
        <v>3.7</v>
      </c>
      <c r="G2851" s="4" t="str">
        <f>HYPERLINK("http://141.218.60.56/~jnz1568/getInfo.php?workbook=14_06.xlsx&amp;sheet=U0&amp;row=2851&amp;col=7&amp;number=1.24&amp;sourceID=14","1.24")</f>
        <v>1.24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HYPERLINK("http://141.218.60.56/~jnz1568/getInfo.php?workbook=14_06.xlsx&amp;sheet=U0&amp;row=2852&amp;col=6&amp;number=3.8&amp;sourceID=14","3.8")</f>
        <v>3.8</v>
      </c>
      <c r="G2852" s="4" t="str">
        <f>HYPERLINK("http://141.218.60.56/~jnz1568/getInfo.php?workbook=14_06.xlsx&amp;sheet=U0&amp;row=2852&amp;col=7&amp;number=1.24&amp;sourceID=14","1.24")</f>
        <v>1.24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HYPERLINK("http://141.218.60.56/~jnz1568/getInfo.php?workbook=14_06.xlsx&amp;sheet=U0&amp;row=2853&amp;col=6&amp;number=3.9&amp;sourceID=14","3.9")</f>
        <v>3.9</v>
      </c>
      <c r="G2853" s="4" t="str">
        <f>HYPERLINK("http://141.218.60.56/~jnz1568/getInfo.php?workbook=14_06.xlsx&amp;sheet=U0&amp;row=2853&amp;col=7&amp;number=1.24&amp;sourceID=14","1.24")</f>
        <v>1.24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HYPERLINK("http://141.218.60.56/~jnz1568/getInfo.php?workbook=14_06.xlsx&amp;sheet=U0&amp;row=2854&amp;col=6&amp;number=4&amp;sourceID=14","4")</f>
        <v>4</v>
      </c>
      <c r="G2854" s="4" t="str">
        <f>HYPERLINK("http://141.218.60.56/~jnz1568/getInfo.php?workbook=14_06.xlsx&amp;sheet=U0&amp;row=2854&amp;col=7&amp;number=1.24&amp;sourceID=14","1.24")</f>
        <v>1.24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HYPERLINK("http://141.218.60.56/~jnz1568/getInfo.php?workbook=14_06.xlsx&amp;sheet=U0&amp;row=2855&amp;col=6&amp;number=4.1&amp;sourceID=14","4.1")</f>
        <v>4.1</v>
      </c>
      <c r="G2855" s="4" t="str">
        <f>HYPERLINK("http://141.218.60.56/~jnz1568/getInfo.php?workbook=14_06.xlsx&amp;sheet=U0&amp;row=2855&amp;col=7&amp;number=1.24&amp;sourceID=14","1.24")</f>
        <v>1.24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HYPERLINK("http://141.218.60.56/~jnz1568/getInfo.php?workbook=14_06.xlsx&amp;sheet=U0&amp;row=2856&amp;col=6&amp;number=4.2&amp;sourceID=14","4.2")</f>
        <v>4.2</v>
      </c>
      <c r="G2856" s="4" t="str">
        <f>HYPERLINK("http://141.218.60.56/~jnz1568/getInfo.php?workbook=14_06.xlsx&amp;sheet=U0&amp;row=2856&amp;col=7&amp;number=1.25&amp;sourceID=14","1.25")</f>
        <v>1.25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HYPERLINK("http://141.218.60.56/~jnz1568/getInfo.php?workbook=14_06.xlsx&amp;sheet=U0&amp;row=2857&amp;col=6&amp;number=4.3&amp;sourceID=14","4.3")</f>
        <v>4.3</v>
      </c>
      <c r="G2857" s="4" t="str">
        <f>HYPERLINK("http://141.218.60.56/~jnz1568/getInfo.php?workbook=14_06.xlsx&amp;sheet=U0&amp;row=2857&amp;col=7&amp;number=1.25&amp;sourceID=14","1.25")</f>
        <v>1.25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HYPERLINK("http://141.218.60.56/~jnz1568/getInfo.php?workbook=14_06.xlsx&amp;sheet=U0&amp;row=2858&amp;col=6&amp;number=4.4&amp;sourceID=14","4.4")</f>
        <v>4.4</v>
      </c>
      <c r="G2858" s="4" t="str">
        <f>HYPERLINK("http://141.218.60.56/~jnz1568/getInfo.php?workbook=14_06.xlsx&amp;sheet=U0&amp;row=2858&amp;col=7&amp;number=1.25&amp;sourceID=14","1.25")</f>
        <v>1.25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HYPERLINK("http://141.218.60.56/~jnz1568/getInfo.php?workbook=14_06.xlsx&amp;sheet=U0&amp;row=2859&amp;col=6&amp;number=4.5&amp;sourceID=14","4.5")</f>
        <v>4.5</v>
      </c>
      <c r="G2859" s="4" t="str">
        <f>HYPERLINK("http://141.218.60.56/~jnz1568/getInfo.php?workbook=14_06.xlsx&amp;sheet=U0&amp;row=2859&amp;col=7&amp;number=1.25&amp;sourceID=14","1.25")</f>
        <v>1.25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HYPERLINK("http://141.218.60.56/~jnz1568/getInfo.php?workbook=14_06.xlsx&amp;sheet=U0&amp;row=2860&amp;col=6&amp;number=4.6&amp;sourceID=14","4.6")</f>
        <v>4.6</v>
      </c>
      <c r="G2860" s="4" t="str">
        <f>HYPERLINK("http://141.218.60.56/~jnz1568/getInfo.php?workbook=14_06.xlsx&amp;sheet=U0&amp;row=2860&amp;col=7&amp;number=1.26&amp;sourceID=14","1.26")</f>
        <v>1.26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HYPERLINK("http://141.218.60.56/~jnz1568/getInfo.php?workbook=14_06.xlsx&amp;sheet=U0&amp;row=2861&amp;col=6&amp;number=4.7&amp;sourceID=14","4.7")</f>
        <v>4.7</v>
      </c>
      <c r="G2861" s="4" t="str">
        <f>HYPERLINK("http://141.218.60.56/~jnz1568/getInfo.php?workbook=14_06.xlsx&amp;sheet=U0&amp;row=2861&amp;col=7&amp;number=1.26&amp;sourceID=14","1.26")</f>
        <v>1.26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HYPERLINK("http://141.218.60.56/~jnz1568/getInfo.php?workbook=14_06.xlsx&amp;sheet=U0&amp;row=2862&amp;col=6&amp;number=4.8&amp;sourceID=14","4.8")</f>
        <v>4.8</v>
      </c>
      <c r="G2862" s="4" t="str">
        <f>HYPERLINK("http://141.218.60.56/~jnz1568/getInfo.php?workbook=14_06.xlsx&amp;sheet=U0&amp;row=2862&amp;col=7&amp;number=1.27&amp;sourceID=14","1.27")</f>
        <v>1.27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HYPERLINK("http://141.218.60.56/~jnz1568/getInfo.php?workbook=14_06.xlsx&amp;sheet=U0&amp;row=2863&amp;col=6&amp;number=4.9&amp;sourceID=14","4.9")</f>
        <v>4.9</v>
      </c>
      <c r="G2863" s="4" t="str">
        <f>HYPERLINK("http://141.218.60.56/~jnz1568/getInfo.php?workbook=14_06.xlsx&amp;sheet=U0&amp;row=2863&amp;col=7&amp;number=1.27&amp;sourceID=14","1.27")</f>
        <v>1.27</v>
      </c>
    </row>
    <row r="2864" spans="1:7">
      <c r="A2864" s="3">
        <v>14</v>
      </c>
      <c r="B2864" s="3">
        <v>6</v>
      </c>
      <c r="C2864" s="3">
        <v>4</v>
      </c>
      <c r="D2864" s="3">
        <v>16</v>
      </c>
      <c r="E2864" s="3">
        <v>1</v>
      </c>
      <c r="F2864" s="4" t="str">
        <f>HYPERLINK("http://141.218.60.56/~jnz1568/getInfo.php?workbook=14_06.xlsx&amp;sheet=U0&amp;row=2864&amp;col=6&amp;number=3&amp;sourceID=14","3")</f>
        <v>3</v>
      </c>
      <c r="G2864" s="4" t="str">
        <f>HYPERLINK("http://141.218.60.56/~jnz1568/getInfo.php?workbook=14_06.xlsx&amp;sheet=U0&amp;row=2864&amp;col=7&amp;number=0.00182&amp;sourceID=14","0.00182")</f>
        <v>0.00182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HYPERLINK("http://141.218.60.56/~jnz1568/getInfo.php?workbook=14_06.xlsx&amp;sheet=U0&amp;row=2865&amp;col=6&amp;number=3.1&amp;sourceID=14","3.1")</f>
        <v>3.1</v>
      </c>
      <c r="G2865" s="4" t="str">
        <f>HYPERLINK("http://141.218.60.56/~jnz1568/getInfo.php?workbook=14_06.xlsx&amp;sheet=U0&amp;row=2865&amp;col=7&amp;number=0.00182&amp;sourceID=14","0.00182")</f>
        <v>0.00182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HYPERLINK("http://141.218.60.56/~jnz1568/getInfo.php?workbook=14_06.xlsx&amp;sheet=U0&amp;row=2866&amp;col=6&amp;number=3.2&amp;sourceID=14","3.2")</f>
        <v>3.2</v>
      </c>
      <c r="G2866" s="4" t="str">
        <f>HYPERLINK("http://141.218.60.56/~jnz1568/getInfo.php?workbook=14_06.xlsx&amp;sheet=U0&amp;row=2866&amp;col=7&amp;number=0.00182&amp;sourceID=14","0.00182")</f>
        <v>0.00182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HYPERLINK("http://141.218.60.56/~jnz1568/getInfo.php?workbook=14_06.xlsx&amp;sheet=U0&amp;row=2867&amp;col=6&amp;number=3.3&amp;sourceID=14","3.3")</f>
        <v>3.3</v>
      </c>
      <c r="G2867" s="4" t="str">
        <f>HYPERLINK("http://141.218.60.56/~jnz1568/getInfo.php?workbook=14_06.xlsx&amp;sheet=U0&amp;row=2867&amp;col=7&amp;number=0.00182&amp;sourceID=14","0.00182")</f>
        <v>0.00182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HYPERLINK("http://141.218.60.56/~jnz1568/getInfo.php?workbook=14_06.xlsx&amp;sheet=U0&amp;row=2868&amp;col=6&amp;number=3.4&amp;sourceID=14","3.4")</f>
        <v>3.4</v>
      </c>
      <c r="G2868" s="4" t="str">
        <f>HYPERLINK("http://141.218.60.56/~jnz1568/getInfo.php?workbook=14_06.xlsx&amp;sheet=U0&amp;row=2868&amp;col=7&amp;number=0.00182&amp;sourceID=14","0.00182")</f>
        <v>0.00182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HYPERLINK("http://141.218.60.56/~jnz1568/getInfo.php?workbook=14_06.xlsx&amp;sheet=U0&amp;row=2869&amp;col=6&amp;number=3.5&amp;sourceID=14","3.5")</f>
        <v>3.5</v>
      </c>
      <c r="G2869" s="4" t="str">
        <f>HYPERLINK("http://141.218.60.56/~jnz1568/getInfo.php?workbook=14_06.xlsx&amp;sheet=U0&amp;row=2869&amp;col=7&amp;number=0.00182&amp;sourceID=14","0.00182")</f>
        <v>0.00182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HYPERLINK("http://141.218.60.56/~jnz1568/getInfo.php?workbook=14_06.xlsx&amp;sheet=U0&amp;row=2870&amp;col=6&amp;number=3.6&amp;sourceID=14","3.6")</f>
        <v>3.6</v>
      </c>
      <c r="G2870" s="4" t="str">
        <f>HYPERLINK("http://141.218.60.56/~jnz1568/getInfo.php?workbook=14_06.xlsx&amp;sheet=U0&amp;row=2870&amp;col=7&amp;number=0.00182&amp;sourceID=14","0.00182")</f>
        <v>0.00182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HYPERLINK("http://141.218.60.56/~jnz1568/getInfo.php?workbook=14_06.xlsx&amp;sheet=U0&amp;row=2871&amp;col=6&amp;number=3.7&amp;sourceID=14","3.7")</f>
        <v>3.7</v>
      </c>
      <c r="G2871" s="4" t="str">
        <f>HYPERLINK("http://141.218.60.56/~jnz1568/getInfo.php?workbook=14_06.xlsx&amp;sheet=U0&amp;row=2871&amp;col=7&amp;number=0.00182&amp;sourceID=14","0.00182")</f>
        <v>0.00182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HYPERLINK("http://141.218.60.56/~jnz1568/getInfo.php?workbook=14_06.xlsx&amp;sheet=U0&amp;row=2872&amp;col=6&amp;number=3.8&amp;sourceID=14","3.8")</f>
        <v>3.8</v>
      </c>
      <c r="G2872" s="4" t="str">
        <f>HYPERLINK("http://141.218.60.56/~jnz1568/getInfo.php?workbook=14_06.xlsx&amp;sheet=U0&amp;row=2872&amp;col=7&amp;number=0.00182&amp;sourceID=14","0.00182")</f>
        <v>0.00182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HYPERLINK("http://141.218.60.56/~jnz1568/getInfo.php?workbook=14_06.xlsx&amp;sheet=U0&amp;row=2873&amp;col=6&amp;number=3.9&amp;sourceID=14","3.9")</f>
        <v>3.9</v>
      </c>
      <c r="G2873" s="4" t="str">
        <f>HYPERLINK("http://141.218.60.56/~jnz1568/getInfo.php?workbook=14_06.xlsx&amp;sheet=U0&amp;row=2873&amp;col=7&amp;number=0.00182&amp;sourceID=14","0.00182")</f>
        <v>0.00182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HYPERLINK("http://141.218.60.56/~jnz1568/getInfo.php?workbook=14_06.xlsx&amp;sheet=U0&amp;row=2874&amp;col=6&amp;number=4&amp;sourceID=14","4")</f>
        <v>4</v>
      </c>
      <c r="G2874" s="4" t="str">
        <f>HYPERLINK("http://141.218.60.56/~jnz1568/getInfo.php?workbook=14_06.xlsx&amp;sheet=U0&amp;row=2874&amp;col=7&amp;number=0.00182&amp;sourceID=14","0.00182")</f>
        <v>0.00182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HYPERLINK("http://141.218.60.56/~jnz1568/getInfo.php?workbook=14_06.xlsx&amp;sheet=U0&amp;row=2875&amp;col=6&amp;number=4.1&amp;sourceID=14","4.1")</f>
        <v>4.1</v>
      </c>
      <c r="G2875" s="4" t="str">
        <f>HYPERLINK("http://141.218.60.56/~jnz1568/getInfo.php?workbook=14_06.xlsx&amp;sheet=U0&amp;row=2875&amp;col=7&amp;number=0.00182&amp;sourceID=14","0.00182")</f>
        <v>0.00182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HYPERLINK("http://141.218.60.56/~jnz1568/getInfo.php?workbook=14_06.xlsx&amp;sheet=U0&amp;row=2876&amp;col=6&amp;number=4.2&amp;sourceID=14","4.2")</f>
        <v>4.2</v>
      </c>
      <c r="G2876" s="4" t="str">
        <f>HYPERLINK("http://141.218.60.56/~jnz1568/getInfo.php?workbook=14_06.xlsx&amp;sheet=U0&amp;row=2876&amp;col=7&amp;number=0.00182&amp;sourceID=14","0.00182")</f>
        <v>0.00182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HYPERLINK("http://141.218.60.56/~jnz1568/getInfo.php?workbook=14_06.xlsx&amp;sheet=U0&amp;row=2877&amp;col=6&amp;number=4.3&amp;sourceID=14","4.3")</f>
        <v>4.3</v>
      </c>
      <c r="G2877" s="4" t="str">
        <f>HYPERLINK("http://141.218.60.56/~jnz1568/getInfo.php?workbook=14_06.xlsx&amp;sheet=U0&amp;row=2877&amp;col=7&amp;number=0.00181&amp;sourceID=14","0.00181")</f>
        <v>0.00181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HYPERLINK("http://141.218.60.56/~jnz1568/getInfo.php?workbook=14_06.xlsx&amp;sheet=U0&amp;row=2878&amp;col=6&amp;number=4.4&amp;sourceID=14","4.4")</f>
        <v>4.4</v>
      </c>
      <c r="G2878" s="4" t="str">
        <f>HYPERLINK("http://141.218.60.56/~jnz1568/getInfo.php?workbook=14_06.xlsx&amp;sheet=U0&amp;row=2878&amp;col=7&amp;number=0.00181&amp;sourceID=14","0.00181")</f>
        <v>0.00181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HYPERLINK("http://141.218.60.56/~jnz1568/getInfo.php?workbook=14_06.xlsx&amp;sheet=U0&amp;row=2879&amp;col=6&amp;number=4.5&amp;sourceID=14","4.5")</f>
        <v>4.5</v>
      </c>
      <c r="G2879" s="4" t="str">
        <f>HYPERLINK("http://141.218.60.56/~jnz1568/getInfo.php?workbook=14_06.xlsx&amp;sheet=U0&amp;row=2879&amp;col=7&amp;number=0.00181&amp;sourceID=14","0.00181")</f>
        <v>0.00181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HYPERLINK("http://141.218.60.56/~jnz1568/getInfo.php?workbook=14_06.xlsx&amp;sheet=U0&amp;row=2880&amp;col=6&amp;number=4.6&amp;sourceID=14","4.6")</f>
        <v>4.6</v>
      </c>
      <c r="G2880" s="4" t="str">
        <f>HYPERLINK("http://141.218.60.56/~jnz1568/getInfo.php?workbook=14_06.xlsx&amp;sheet=U0&amp;row=2880&amp;col=7&amp;number=0.00181&amp;sourceID=14","0.00181")</f>
        <v>0.00181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HYPERLINK("http://141.218.60.56/~jnz1568/getInfo.php?workbook=14_06.xlsx&amp;sheet=U0&amp;row=2881&amp;col=6&amp;number=4.7&amp;sourceID=14","4.7")</f>
        <v>4.7</v>
      </c>
      <c r="G2881" s="4" t="str">
        <f>HYPERLINK("http://141.218.60.56/~jnz1568/getInfo.php?workbook=14_06.xlsx&amp;sheet=U0&amp;row=2881&amp;col=7&amp;number=0.0018&amp;sourceID=14","0.0018")</f>
        <v>0.0018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HYPERLINK("http://141.218.60.56/~jnz1568/getInfo.php?workbook=14_06.xlsx&amp;sheet=U0&amp;row=2882&amp;col=6&amp;number=4.8&amp;sourceID=14","4.8")</f>
        <v>4.8</v>
      </c>
      <c r="G2882" s="4" t="str">
        <f>HYPERLINK("http://141.218.60.56/~jnz1568/getInfo.php?workbook=14_06.xlsx&amp;sheet=U0&amp;row=2882&amp;col=7&amp;number=0.0018&amp;sourceID=14","0.0018")</f>
        <v>0.0018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HYPERLINK("http://141.218.60.56/~jnz1568/getInfo.php?workbook=14_06.xlsx&amp;sheet=U0&amp;row=2883&amp;col=6&amp;number=4.9&amp;sourceID=14","4.9")</f>
        <v>4.9</v>
      </c>
      <c r="G2883" s="4" t="str">
        <f>HYPERLINK("http://141.218.60.56/~jnz1568/getInfo.php?workbook=14_06.xlsx&amp;sheet=U0&amp;row=2883&amp;col=7&amp;number=0.00179&amp;sourceID=14","0.00179")</f>
        <v>0.00179</v>
      </c>
    </row>
    <row r="2884" spans="1:7">
      <c r="A2884" s="3">
        <v>14</v>
      </c>
      <c r="B2884" s="3">
        <v>6</v>
      </c>
      <c r="C2884" s="3">
        <v>4</v>
      </c>
      <c r="D2884" s="3">
        <v>17</v>
      </c>
      <c r="E2884" s="3">
        <v>1</v>
      </c>
      <c r="F2884" s="4" t="str">
        <f>HYPERLINK("http://141.218.60.56/~jnz1568/getInfo.php?workbook=14_06.xlsx&amp;sheet=U0&amp;row=2884&amp;col=6&amp;number=3&amp;sourceID=14","3")</f>
        <v>3</v>
      </c>
      <c r="G2884" s="4" t="str">
        <f>HYPERLINK("http://141.218.60.56/~jnz1568/getInfo.php?workbook=14_06.xlsx&amp;sheet=U0&amp;row=2884&amp;col=7&amp;number=0.00123&amp;sourceID=14","0.00123")</f>
        <v>0.00123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HYPERLINK("http://141.218.60.56/~jnz1568/getInfo.php?workbook=14_06.xlsx&amp;sheet=U0&amp;row=2885&amp;col=6&amp;number=3.1&amp;sourceID=14","3.1")</f>
        <v>3.1</v>
      </c>
      <c r="G2885" s="4" t="str">
        <f>HYPERLINK("http://141.218.60.56/~jnz1568/getInfo.php?workbook=14_06.xlsx&amp;sheet=U0&amp;row=2885&amp;col=7&amp;number=0.00123&amp;sourceID=14","0.00123")</f>
        <v>0.00123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HYPERLINK("http://141.218.60.56/~jnz1568/getInfo.php?workbook=14_06.xlsx&amp;sheet=U0&amp;row=2886&amp;col=6&amp;number=3.2&amp;sourceID=14","3.2")</f>
        <v>3.2</v>
      </c>
      <c r="G2886" s="4" t="str">
        <f>HYPERLINK("http://141.218.60.56/~jnz1568/getInfo.php?workbook=14_06.xlsx&amp;sheet=U0&amp;row=2886&amp;col=7&amp;number=0.00123&amp;sourceID=14","0.00123")</f>
        <v>0.00123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HYPERLINK("http://141.218.60.56/~jnz1568/getInfo.php?workbook=14_06.xlsx&amp;sheet=U0&amp;row=2887&amp;col=6&amp;number=3.3&amp;sourceID=14","3.3")</f>
        <v>3.3</v>
      </c>
      <c r="G2887" s="4" t="str">
        <f>HYPERLINK("http://141.218.60.56/~jnz1568/getInfo.php?workbook=14_06.xlsx&amp;sheet=U0&amp;row=2887&amp;col=7&amp;number=0.00123&amp;sourceID=14","0.00123")</f>
        <v>0.00123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HYPERLINK("http://141.218.60.56/~jnz1568/getInfo.php?workbook=14_06.xlsx&amp;sheet=U0&amp;row=2888&amp;col=6&amp;number=3.4&amp;sourceID=14","3.4")</f>
        <v>3.4</v>
      </c>
      <c r="G2888" s="4" t="str">
        <f>HYPERLINK("http://141.218.60.56/~jnz1568/getInfo.php?workbook=14_06.xlsx&amp;sheet=U0&amp;row=2888&amp;col=7&amp;number=0.00123&amp;sourceID=14","0.00123")</f>
        <v>0.00123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HYPERLINK("http://141.218.60.56/~jnz1568/getInfo.php?workbook=14_06.xlsx&amp;sheet=U0&amp;row=2889&amp;col=6&amp;number=3.5&amp;sourceID=14","3.5")</f>
        <v>3.5</v>
      </c>
      <c r="G2889" s="4" t="str">
        <f>HYPERLINK("http://141.218.60.56/~jnz1568/getInfo.php?workbook=14_06.xlsx&amp;sheet=U0&amp;row=2889&amp;col=7&amp;number=0.00123&amp;sourceID=14","0.00123")</f>
        <v>0.00123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HYPERLINK("http://141.218.60.56/~jnz1568/getInfo.php?workbook=14_06.xlsx&amp;sheet=U0&amp;row=2890&amp;col=6&amp;number=3.6&amp;sourceID=14","3.6")</f>
        <v>3.6</v>
      </c>
      <c r="G2890" s="4" t="str">
        <f>HYPERLINK("http://141.218.60.56/~jnz1568/getInfo.php?workbook=14_06.xlsx&amp;sheet=U0&amp;row=2890&amp;col=7&amp;number=0.00123&amp;sourceID=14","0.00123")</f>
        <v>0.00123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HYPERLINK("http://141.218.60.56/~jnz1568/getInfo.php?workbook=14_06.xlsx&amp;sheet=U0&amp;row=2891&amp;col=6&amp;number=3.7&amp;sourceID=14","3.7")</f>
        <v>3.7</v>
      </c>
      <c r="G2891" s="4" t="str">
        <f>HYPERLINK("http://141.218.60.56/~jnz1568/getInfo.php?workbook=14_06.xlsx&amp;sheet=U0&amp;row=2891&amp;col=7&amp;number=0.00123&amp;sourceID=14","0.00123")</f>
        <v>0.00123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HYPERLINK("http://141.218.60.56/~jnz1568/getInfo.php?workbook=14_06.xlsx&amp;sheet=U0&amp;row=2892&amp;col=6&amp;number=3.8&amp;sourceID=14","3.8")</f>
        <v>3.8</v>
      </c>
      <c r="G2892" s="4" t="str">
        <f>HYPERLINK("http://141.218.60.56/~jnz1568/getInfo.php?workbook=14_06.xlsx&amp;sheet=U0&amp;row=2892&amp;col=7&amp;number=0.00123&amp;sourceID=14","0.00123")</f>
        <v>0.00123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HYPERLINK("http://141.218.60.56/~jnz1568/getInfo.php?workbook=14_06.xlsx&amp;sheet=U0&amp;row=2893&amp;col=6&amp;number=3.9&amp;sourceID=14","3.9")</f>
        <v>3.9</v>
      </c>
      <c r="G2893" s="4" t="str">
        <f>HYPERLINK("http://141.218.60.56/~jnz1568/getInfo.php?workbook=14_06.xlsx&amp;sheet=U0&amp;row=2893&amp;col=7&amp;number=0.00123&amp;sourceID=14","0.00123")</f>
        <v>0.00123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HYPERLINK("http://141.218.60.56/~jnz1568/getInfo.php?workbook=14_06.xlsx&amp;sheet=U0&amp;row=2894&amp;col=6&amp;number=4&amp;sourceID=14","4")</f>
        <v>4</v>
      </c>
      <c r="G2894" s="4" t="str">
        <f>HYPERLINK("http://141.218.60.56/~jnz1568/getInfo.php?workbook=14_06.xlsx&amp;sheet=U0&amp;row=2894&amp;col=7&amp;number=0.00123&amp;sourceID=14","0.00123")</f>
        <v>0.00123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HYPERLINK("http://141.218.60.56/~jnz1568/getInfo.php?workbook=14_06.xlsx&amp;sheet=U0&amp;row=2895&amp;col=6&amp;number=4.1&amp;sourceID=14","4.1")</f>
        <v>4.1</v>
      </c>
      <c r="G2895" s="4" t="str">
        <f>HYPERLINK("http://141.218.60.56/~jnz1568/getInfo.php?workbook=14_06.xlsx&amp;sheet=U0&amp;row=2895&amp;col=7&amp;number=0.00123&amp;sourceID=14","0.00123")</f>
        <v>0.00123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HYPERLINK("http://141.218.60.56/~jnz1568/getInfo.php?workbook=14_06.xlsx&amp;sheet=U0&amp;row=2896&amp;col=6&amp;number=4.2&amp;sourceID=14","4.2")</f>
        <v>4.2</v>
      </c>
      <c r="G2896" s="4" t="str">
        <f>HYPERLINK("http://141.218.60.56/~jnz1568/getInfo.php?workbook=14_06.xlsx&amp;sheet=U0&amp;row=2896&amp;col=7&amp;number=0.00123&amp;sourceID=14","0.00123")</f>
        <v>0.00123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HYPERLINK("http://141.218.60.56/~jnz1568/getInfo.php?workbook=14_06.xlsx&amp;sheet=U0&amp;row=2897&amp;col=6&amp;number=4.3&amp;sourceID=14","4.3")</f>
        <v>4.3</v>
      </c>
      <c r="G2897" s="4" t="str">
        <f>HYPERLINK("http://141.218.60.56/~jnz1568/getInfo.php?workbook=14_06.xlsx&amp;sheet=U0&amp;row=2897&amp;col=7&amp;number=0.00123&amp;sourceID=14","0.00123")</f>
        <v>0.00123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HYPERLINK("http://141.218.60.56/~jnz1568/getInfo.php?workbook=14_06.xlsx&amp;sheet=U0&amp;row=2898&amp;col=6&amp;number=4.4&amp;sourceID=14","4.4")</f>
        <v>4.4</v>
      </c>
      <c r="G2898" s="4" t="str">
        <f>HYPERLINK("http://141.218.60.56/~jnz1568/getInfo.php?workbook=14_06.xlsx&amp;sheet=U0&amp;row=2898&amp;col=7&amp;number=0.00122&amp;sourceID=14","0.00122")</f>
        <v>0.00122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HYPERLINK("http://141.218.60.56/~jnz1568/getInfo.php?workbook=14_06.xlsx&amp;sheet=U0&amp;row=2899&amp;col=6&amp;number=4.5&amp;sourceID=14","4.5")</f>
        <v>4.5</v>
      </c>
      <c r="G2899" s="4" t="str">
        <f>HYPERLINK("http://141.218.60.56/~jnz1568/getInfo.php?workbook=14_06.xlsx&amp;sheet=U0&amp;row=2899&amp;col=7&amp;number=0.00122&amp;sourceID=14","0.00122")</f>
        <v>0.00122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HYPERLINK("http://141.218.60.56/~jnz1568/getInfo.php?workbook=14_06.xlsx&amp;sheet=U0&amp;row=2900&amp;col=6&amp;number=4.6&amp;sourceID=14","4.6")</f>
        <v>4.6</v>
      </c>
      <c r="G2900" s="4" t="str">
        <f>HYPERLINK("http://141.218.60.56/~jnz1568/getInfo.php?workbook=14_06.xlsx&amp;sheet=U0&amp;row=2900&amp;col=7&amp;number=0.00122&amp;sourceID=14","0.00122")</f>
        <v>0.00122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HYPERLINK("http://141.218.60.56/~jnz1568/getInfo.php?workbook=14_06.xlsx&amp;sheet=U0&amp;row=2901&amp;col=6&amp;number=4.7&amp;sourceID=14","4.7")</f>
        <v>4.7</v>
      </c>
      <c r="G2901" s="4" t="str">
        <f>HYPERLINK("http://141.218.60.56/~jnz1568/getInfo.php?workbook=14_06.xlsx&amp;sheet=U0&amp;row=2901&amp;col=7&amp;number=0.00122&amp;sourceID=14","0.00122")</f>
        <v>0.00122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HYPERLINK("http://141.218.60.56/~jnz1568/getInfo.php?workbook=14_06.xlsx&amp;sheet=U0&amp;row=2902&amp;col=6&amp;number=4.8&amp;sourceID=14","4.8")</f>
        <v>4.8</v>
      </c>
      <c r="G2902" s="4" t="str">
        <f>HYPERLINK("http://141.218.60.56/~jnz1568/getInfo.php?workbook=14_06.xlsx&amp;sheet=U0&amp;row=2902&amp;col=7&amp;number=0.00121&amp;sourceID=14","0.00121")</f>
        <v>0.00121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HYPERLINK("http://141.218.60.56/~jnz1568/getInfo.php?workbook=14_06.xlsx&amp;sheet=U0&amp;row=2903&amp;col=6&amp;number=4.9&amp;sourceID=14","4.9")</f>
        <v>4.9</v>
      </c>
      <c r="G2903" s="4" t="str">
        <f>HYPERLINK("http://141.218.60.56/~jnz1568/getInfo.php?workbook=14_06.xlsx&amp;sheet=U0&amp;row=2903&amp;col=7&amp;number=0.00121&amp;sourceID=14","0.00121")</f>
        <v>0.00121</v>
      </c>
    </row>
    <row r="2904" spans="1:7">
      <c r="A2904" s="3">
        <v>14</v>
      </c>
      <c r="B2904" s="3">
        <v>6</v>
      </c>
      <c r="C2904" s="3">
        <v>4</v>
      </c>
      <c r="D2904" s="3">
        <v>18</v>
      </c>
      <c r="E2904" s="3">
        <v>1</v>
      </c>
      <c r="F2904" s="4" t="str">
        <f>HYPERLINK("http://141.218.60.56/~jnz1568/getInfo.php?workbook=14_06.xlsx&amp;sheet=U0&amp;row=2904&amp;col=6&amp;number=3&amp;sourceID=14","3")</f>
        <v>3</v>
      </c>
      <c r="G2904" s="4" t="str">
        <f>HYPERLINK("http://141.218.60.56/~jnz1568/getInfo.php?workbook=14_06.xlsx&amp;sheet=U0&amp;row=2904&amp;col=7&amp;number=0.000422&amp;sourceID=14","0.000422")</f>
        <v>0.000422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HYPERLINK("http://141.218.60.56/~jnz1568/getInfo.php?workbook=14_06.xlsx&amp;sheet=U0&amp;row=2905&amp;col=6&amp;number=3.1&amp;sourceID=14","3.1")</f>
        <v>3.1</v>
      </c>
      <c r="G2905" s="4" t="str">
        <f>HYPERLINK("http://141.218.60.56/~jnz1568/getInfo.php?workbook=14_06.xlsx&amp;sheet=U0&amp;row=2905&amp;col=7&amp;number=0.000422&amp;sourceID=14","0.000422")</f>
        <v>0.000422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HYPERLINK("http://141.218.60.56/~jnz1568/getInfo.php?workbook=14_06.xlsx&amp;sheet=U0&amp;row=2906&amp;col=6&amp;number=3.2&amp;sourceID=14","3.2")</f>
        <v>3.2</v>
      </c>
      <c r="G2906" s="4" t="str">
        <f>HYPERLINK("http://141.218.60.56/~jnz1568/getInfo.php?workbook=14_06.xlsx&amp;sheet=U0&amp;row=2906&amp;col=7&amp;number=0.000422&amp;sourceID=14","0.000422")</f>
        <v>0.000422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HYPERLINK("http://141.218.60.56/~jnz1568/getInfo.php?workbook=14_06.xlsx&amp;sheet=U0&amp;row=2907&amp;col=6&amp;number=3.3&amp;sourceID=14","3.3")</f>
        <v>3.3</v>
      </c>
      <c r="G2907" s="4" t="str">
        <f>HYPERLINK("http://141.218.60.56/~jnz1568/getInfo.php?workbook=14_06.xlsx&amp;sheet=U0&amp;row=2907&amp;col=7&amp;number=0.000422&amp;sourceID=14","0.000422")</f>
        <v>0.000422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HYPERLINK("http://141.218.60.56/~jnz1568/getInfo.php?workbook=14_06.xlsx&amp;sheet=U0&amp;row=2908&amp;col=6&amp;number=3.4&amp;sourceID=14","3.4")</f>
        <v>3.4</v>
      </c>
      <c r="G2908" s="4" t="str">
        <f>HYPERLINK("http://141.218.60.56/~jnz1568/getInfo.php?workbook=14_06.xlsx&amp;sheet=U0&amp;row=2908&amp;col=7&amp;number=0.000422&amp;sourceID=14","0.000422")</f>
        <v>0.000422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HYPERLINK("http://141.218.60.56/~jnz1568/getInfo.php?workbook=14_06.xlsx&amp;sheet=U0&amp;row=2909&amp;col=6&amp;number=3.5&amp;sourceID=14","3.5")</f>
        <v>3.5</v>
      </c>
      <c r="G2909" s="4" t="str">
        <f>HYPERLINK("http://141.218.60.56/~jnz1568/getInfo.php?workbook=14_06.xlsx&amp;sheet=U0&amp;row=2909&amp;col=7&amp;number=0.000421&amp;sourceID=14","0.000421")</f>
        <v>0.000421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HYPERLINK("http://141.218.60.56/~jnz1568/getInfo.php?workbook=14_06.xlsx&amp;sheet=U0&amp;row=2910&amp;col=6&amp;number=3.6&amp;sourceID=14","3.6")</f>
        <v>3.6</v>
      </c>
      <c r="G2910" s="4" t="str">
        <f>HYPERLINK("http://141.218.60.56/~jnz1568/getInfo.php?workbook=14_06.xlsx&amp;sheet=U0&amp;row=2910&amp;col=7&amp;number=0.000421&amp;sourceID=14","0.000421")</f>
        <v>0.000421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HYPERLINK("http://141.218.60.56/~jnz1568/getInfo.php?workbook=14_06.xlsx&amp;sheet=U0&amp;row=2911&amp;col=6&amp;number=3.7&amp;sourceID=14","3.7")</f>
        <v>3.7</v>
      </c>
      <c r="G2911" s="4" t="str">
        <f>HYPERLINK("http://141.218.60.56/~jnz1568/getInfo.php?workbook=14_06.xlsx&amp;sheet=U0&amp;row=2911&amp;col=7&amp;number=0.000421&amp;sourceID=14","0.000421")</f>
        <v>0.000421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HYPERLINK("http://141.218.60.56/~jnz1568/getInfo.php?workbook=14_06.xlsx&amp;sheet=U0&amp;row=2912&amp;col=6&amp;number=3.8&amp;sourceID=14","3.8")</f>
        <v>3.8</v>
      </c>
      <c r="G2912" s="4" t="str">
        <f>HYPERLINK("http://141.218.60.56/~jnz1568/getInfo.php?workbook=14_06.xlsx&amp;sheet=U0&amp;row=2912&amp;col=7&amp;number=0.000421&amp;sourceID=14","0.000421")</f>
        <v>0.000421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HYPERLINK("http://141.218.60.56/~jnz1568/getInfo.php?workbook=14_06.xlsx&amp;sheet=U0&amp;row=2913&amp;col=6&amp;number=3.9&amp;sourceID=14","3.9")</f>
        <v>3.9</v>
      </c>
      <c r="G2913" s="4" t="str">
        <f>HYPERLINK("http://141.218.60.56/~jnz1568/getInfo.php?workbook=14_06.xlsx&amp;sheet=U0&amp;row=2913&amp;col=7&amp;number=0.000421&amp;sourceID=14","0.000421")</f>
        <v>0.000421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HYPERLINK("http://141.218.60.56/~jnz1568/getInfo.php?workbook=14_06.xlsx&amp;sheet=U0&amp;row=2914&amp;col=6&amp;number=4&amp;sourceID=14","4")</f>
        <v>4</v>
      </c>
      <c r="G2914" s="4" t="str">
        <f>HYPERLINK("http://141.218.60.56/~jnz1568/getInfo.php?workbook=14_06.xlsx&amp;sheet=U0&amp;row=2914&amp;col=7&amp;number=0.000421&amp;sourceID=14","0.000421")</f>
        <v>0.000421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HYPERLINK("http://141.218.60.56/~jnz1568/getInfo.php?workbook=14_06.xlsx&amp;sheet=U0&amp;row=2915&amp;col=6&amp;number=4.1&amp;sourceID=14","4.1")</f>
        <v>4.1</v>
      </c>
      <c r="G2915" s="4" t="str">
        <f>HYPERLINK("http://141.218.60.56/~jnz1568/getInfo.php?workbook=14_06.xlsx&amp;sheet=U0&amp;row=2915&amp;col=7&amp;number=0.00042&amp;sourceID=14","0.00042")</f>
        <v>0.00042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HYPERLINK("http://141.218.60.56/~jnz1568/getInfo.php?workbook=14_06.xlsx&amp;sheet=U0&amp;row=2916&amp;col=6&amp;number=4.2&amp;sourceID=14","4.2")</f>
        <v>4.2</v>
      </c>
      <c r="G2916" s="4" t="str">
        <f>HYPERLINK("http://141.218.60.56/~jnz1568/getInfo.php?workbook=14_06.xlsx&amp;sheet=U0&amp;row=2916&amp;col=7&amp;number=0.00042&amp;sourceID=14","0.00042")</f>
        <v>0.00042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HYPERLINK("http://141.218.60.56/~jnz1568/getInfo.php?workbook=14_06.xlsx&amp;sheet=U0&amp;row=2917&amp;col=6&amp;number=4.3&amp;sourceID=14","4.3")</f>
        <v>4.3</v>
      </c>
      <c r="G2917" s="4" t="str">
        <f>HYPERLINK("http://141.218.60.56/~jnz1568/getInfo.php?workbook=14_06.xlsx&amp;sheet=U0&amp;row=2917&amp;col=7&amp;number=0.000419&amp;sourceID=14","0.000419")</f>
        <v>0.000419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HYPERLINK("http://141.218.60.56/~jnz1568/getInfo.php?workbook=14_06.xlsx&amp;sheet=U0&amp;row=2918&amp;col=6&amp;number=4.4&amp;sourceID=14","4.4")</f>
        <v>4.4</v>
      </c>
      <c r="G2918" s="4" t="str">
        <f>HYPERLINK("http://141.218.60.56/~jnz1568/getInfo.php?workbook=14_06.xlsx&amp;sheet=U0&amp;row=2918&amp;col=7&amp;number=0.000419&amp;sourceID=14","0.000419")</f>
        <v>0.000419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HYPERLINK("http://141.218.60.56/~jnz1568/getInfo.php?workbook=14_06.xlsx&amp;sheet=U0&amp;row=2919&amp;col=6&amp;number=4.5&amp;sourceID=14","4.5")</f>
        <v>4.5</v>
      </c>
      <c r="G2919" s="4" t="str">
        <f>HYPERLINK("http://141.218.60.56/~jnz1568/getInfo.php?workbook=14_06.xlsx&amp;sheet=U0&amp;row=2919&amp;col=7&amp;number=0.000418&amp;sourceID=14","0.000418")</f>
        <v>0.000418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HYPERLINK("http://141.218.60.56/~jnz1568/getInfo.php?workbook=14_06.xlsx&amp;sheet=U0&amp;row=2920&amp;col=6&amp;number=4.6&amp;sourceID=14","4.6")</f>
        <v>4.6</v>
      </c>
      <c r="G2920" s="4" t="str">
        <f>HYPERLINK("http://141.218.60.56/~jnz1568/getInfo.php?workbook=14_06.xlsx&amp;sheet=U0&amp;row=2920&amp;col=7&amp;number=0.000417&amp;sourceID=14","0.000417")</f>
        <v>0.000417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HYPERLINK("http://141.218.60.56/~jnz1568/getInfo.php?workbook=14_06.xlsx&amp;sheet=U0&amp;row=2921&amp;col=6&amp;number=4.7&amp;sourceID=14","4.7")</f>
        <v>4.7</v>
      </c>
      <c r="G2921" s="4" t="str">
        <f>HYPERLINK("http://141.218.60.56/~jnz1568/getInfo.php?workbook=14_06.xlsx&amp;sheet=U0&amp;row=2921&amp;col=7&amp;number=0.000416&amp;sourceID=14","0.000416")</f>
        <v>0.000416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HYPERLINK("http://141.218.60.56/~jnz1568/getInfo.php?workbook=14_06.xlsx&amp;sheet=U0&amp;row=2922&amp;col=6&amp;number=4.8&amp;sourceID=14","4.8")</f>
        <v>4.8</v>
      </c>
      <c r="G2922" s="4" t="str">
        <f>HYPERLINK("http://141.218.60.56/~jnz1568/getInfo.php?workbook=14_06.xlsx&amp;sheet=U0&amp;row=2922&amp;col=7&amp;number=0.000414&amp;sourceID=14","0.000414")</f>
        <v>0.000414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HYPERLINK("http://141.218.60.56/~jnz1568/getInfo.php?workbook=14_06.xlsx&amp;sheet=U0&amp;row=2923&amp;col=6&amp;number=4.9&amp;sourceID=14","4.9")</f>
        <v>4.9</v>
      </c>
      <c r="G2923" s="4" t="str">
        <f>HYPERLINK("http://141.218.60.56/~jnz1568/getInfo.php?workbook=14_06.xlsx&amp;sheet=U0&amp;row=2923&amp;col=7&amp;number=0.000413&amp;sourceID=14","0.000413")</f>
        <v>0.000413</v>
      </c>
    </row>
    <row r="2924" spans="1:7">
      <c r="A2924" s="3">
        <v>14</v>
      </c>
      <c r="B2924" s="3">
        <v>6</v>
      </c>
      <c r="C2924" s="3">
        <v>4</v>
      </c>
      <c r="D2924" s="3">
        <v>19</v>
      </c>
      <c r="E2924" s="3">
        <v>1</v>
      </c>
      <c r="F2924" s="4" t="str">
        <f>HYPERLINK("http://141.218.60.56/~jnz1568/getInfo.php?workbook=14_06.xlsx&amp;sheet=U0&amp;row=2924&amp;col=6&amp;number=3&amp;sourceID=14","3")</f>
        <v>3</v>
      </c>
      <c r="G2924" s="4" t="str">
        <f>HYPERLINK("http://141.218.60.56/~jnz1568/getInfo.php?workbook=14_06.xlsx&amp;sheet=U0&amp;row=2924&amp;col=7&amp;number=0.00689&amp;sourceID=14","0.00689")</f>
        <v>0.00689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HYPERLINK("http://141.218.60.56/~jnz1568/getInfo.php?workbook=14_06.xlsx&amp;sheet=U0&amp;row=2925&amp;col=6&amp;number=3.1&amp;sourceID=14","3.1")</f>
        <v>3.1</v>
      </c>
      <c r="G2925" s="4" t="str">
        <f>HYPERLINK("http://141.218.60.56/~jnz1568/getInfo.php?workbook=14_06.xlsx&amp;sheet=U0&amp;row=2925&amp;col=7&amp;number=0.00689&amp;sourceID=14","0.00689")</f>
        <v>0.00689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HYPERLINK("http://141.218.60.56/~jnz1568/getInfo.php?workbook=14_06.xlsx&amp;sheet=U0&amp;row=2926&amp;col=6&amp;number=3.2&amp;sourceID=14","3.2")</f>
        <v>3.2</v>
      </c>
      <c r="G2926" s="4" t="str">
        <f>HYPERLINK("http://141.218.60.56/~jnz1568/getInfo.php?workbook=14_06.xlsx&amp;sheet=U0&amp;row=2926&amp;col=7&amp;number=0.00689&amp;sourceID=14","0.00689")</f>
        <v>0.00689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HYPERLINK("http://141.218.60.56/~jnz1568/getInfo.php?workbook=14_06.xlsx&amp;sheet=U0&amp;row=2927&amp;col=6&amp;number=3.3&amp;sourceID=14","3.3")</f>
        <v>3.3</v>
      </c>
      <c r="G2927" s="4" t="str">
        <f>HYPERLINK("http://141.218.60.56/~jnz1568/getInfo.php?workbook=14_06.xlsx&amp;sheet=U0&amp;row=2927&amp;col=7&amp;number=0.00689&amp;sourceID=14","0.00689")</f>
        <v>0.00689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HYPERLINK("http://141.218.60.56/~jnz1568/getInfo.php?workbook=14_06.xlsx&amp;sheet=U0&amp;row=2928&amp;col=6&amp;number=3.4&amp;sourceID=14","3.4")</f>
        <v>3.4</v>
      </c>
      <c r="G2928" s="4" t="str">
        <f>HYPERLINK("http://141.218.60.56/~jnz1568/getInfo.php?workbook=14_06.xlsx&amp;sheet=U0&amp;row=2928&amp;col=7&amp;number=0.00689&amp;sourceID=14","0.00689")</f>
        <v>0.00689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HYPERLINK("http://141.218.60.56/~jnz1568/getInfo.php?workbook=14_06.xlsx&amp;sheet=U0&amp;row=2929&amp;col=6&amp;number=3.5&amp;sourceID=14","3.5")</f>
        <v>3.5</v>
      </c>
      <c r="G2929" s="4" t="str">
        <f>HYPERLINK("http://141.218.60.56/~jnz1568/getInfo.php?workbook=14_06.xlsx&amp;sheet=U0&amp;row=2929&amp;col=7&amp;number=0.00689&amp;sourceID=14","0.00689")</f>
        <v>0.00689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HYPERLINK("http://141.218.60.56/~jnz1568/getInfo.php?workbook=14_06.xlsx&amp;sheet=U0&amp;row=2930&amp;col=6&amp;number=3.6&amp;sourceID=14","3.6")</f>
        <v>3.6</v>
      </c>
      <c r="G2930" s="4" t="str">
        <f>HYPERLINK("http://141.218.60.56/~jnz1568/getInfo.php?workbook=14_06.xlsx&amp;sheet=U0&amp;row=2930&amp;col=7&amp;number=0.00689&amp;sourceID=14","0.00689")</f>
        <v>0.00689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HYPERLINK("http://141.218.60.56/~jnz1568/getInfo.php?workbook=14_06.xlsx&amp;sheet=U0&amp;row=2931&amp;col=6&amp;number=3.7&amp;sourceID=14","3.7")</f>
        <v>3.7</v>
      </c>
      <c r="G2931" s="4" t="str">
        <f>HYPERLINK("http://141.218.60.56/~jnz1568/getInfo.php?workbook=14_06.xlsx&amp;sheet=U0&amp;row=2931&amp;col=7&amp;number=0.00689&amp;sourceID=14","0.00689")</f>
        <v>0.00689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HYPERLINK("http://141.218.60.56/~jnz1568/getInfo.php?workbook=14_06.xlsx&amp;sheet=U0&amp;row=2932&amp;col=6&amp;number=3.8&amp;sourceID=14","3.8")</f>
        <v>3.8</v>
      </c>
      <c r="G2932" s="4" t="str">
        <f>HYPERLINK("http://141.218.60.56/~jnz1568/getInfo.php?workbook=14_06.xlsx&amp;sheet=U0&amp;row=2932&amp;col=7&amp;number=0.0069&amp;sourceID=14","0.0069")</f>
        <v>0.0069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HYPERLINK("http://141.218.60.56/~jnz1568/getInfo.php?workbook=14_06.xlsx&amp;sheet=U0&amp;row=2933&amp;col=6&amp;number=3.9&amp;sourceID=14","3.9")</f>
        <v>3.9</v>
      </c>
      <c r="G2933" s="4" t="str">
        <f>HYPERLINK("http://141.218.60.56/~jnz1568/getInfo.php?workbook=14_06.xlsx&amp;sheet=U0&amp;row=2933&amp;col=7&amp;number=0.0069&amp;sourceID=14","0.0069")</f>
        <v>0.0069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HYPERLINK("http://141.218.60.56/~jnz1568/getInfo.php?workbook=14_06.xlsx&amp;sheet=U0&amp;row=2934&amp;col=6&amp;number=4&amp;sourceID=14","4")</f>
        <v>4</v>
      </c>
      <c r="G2934" s="4" t="str">
        <f>HYPERLINK("http://141.218.60.56/~jnz1568/getInfo.php?workbook=14_06.xlsx&amp;sheet=U0&amp;row=2934&amp;col=7&amp;number=0.0069&amp;sourceID=14","0.0069")</f>
        <v>0.0069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HYPERLINK("http://141.218.60.56/~jnz1568/getInfo.php?workbook=14_06.xlsx&amp;sheet=U0&amp;row=2935&amp;col=6&amp;number=4.1&amp;sourceID=14","4.1")</f>
        <v>4.1</v>
      </c>
      <c r="G2935" s="4" t="str">
        <f>HYPERLINK("http://141.218.60.56/~jnz1568/getInfo.php?workbook=14_06.xlsx&amp;sheet=U0&amp;row=2935&amp;col=7&amp;number=0.0069&amp;sourceID=14","0.0069")</f>
        <v>0.0069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HYPERLINK("http://141.218.60.56/~jnz1568/getInfo.php?workbook=14_06.xlsx&amp;sheet=U0&amp;row=2936&amp;col=6&amp;number=4.2&amp;sourceID=14","4.2")</f>
        <v>4.2</v>
      </c>
      <c r="G2936" s="4" t="str">
        <f>HYPERLINK("http://141.218.60.56/~jnz1568/getInfo.php?workbook=14_06.xlsx&amp;sheet=U0&amp;row=2936&amp;col=7&amp;number=0.00691&amp;sourceID=14","0.00691")</f>
        <v>0.00691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HYPERLINK("http://141.218.60.56/~jnz1568/getInfo.php?workbook=14_06.xlsx&amp;sheet=U0&amp;row=2937&amp;col=6&amp;number=4.3&amp;sourceID=14","4.3")</f>
        <v>4.3</v>
      </c>
      <c r="G2937" s="4" t="str">
        <f>HYPERLINK("http://141.218.60.56/~jnz1568/getInfo.php?workbook=14_06.xlsx&amp;sheet=U0&amp;row=2937&amp;col=7&amp;number=0.00692&amp;sourceID=14","0.00692")</f>
        <v>0.00692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HYPERLINK("http://141.218.60.56/~jnz1568/getInfo.php?workbook=14_06.xlsx&amp;sheet=U0&amp;row=2938&amp;col=6&amp;number=4.4&amp;sourceID=14","4.4")</f>
        <v>4.4</v>
      </c>
      <c r="G2938" s="4" t="str">
        <f>HYPERLINK("http://141.218.60.56/~jnz1568/getInfo.php?workbook=14_06.xlsx&amp;sheet=U0&amp;row=2938&amp;col=7&amp;number=0.00692&amp;sourceID=14","0.00692")</f>
        <v>0.00692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HYPERLINK("http://141.218.60.56/~jnz1568/getInfo.php?workbook=14_06.xlsx&amp;sheet=U0&amp;row=2939&amp;col=6&amp;number=4.5&amp;sourceID=14","4.5")</f>
        <v>4.5</v>
      </c>
      <c r="G2939" s="4" t="str">
        <f>HYPERLINK("http://141.218.60.56/~jnz1568/getInfo.php?workbook=14_06.xlsx&amp;sheet=U0&amp;row=2939&amp;col=7&amp;number=0.00693&amp;sourceID=14","0.00693")</f>
        <v>0.00693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HYPERLINK("http://141.218.60.56/~jnz1568/getInfo.php?workbook=14_06.xlsx&amp;sheet=U0&amp;row=2940&amp;col=6&amp;number=4.6&amp;sourceID=14","4.6")</f>
        <v>4.6</v>
      </c>
      <c r="G2940" s="4" t="str">
        <f>HYPERLINK("http://141.218.60.56/~jnz1568/getInfo.php?workbook=14_06.xlsx&amp;sheet=U0&amp;row=2940&amp;col=7&amp;number=0.00694&amp;sourceID=14","0.00694")</f>
        <v>0.00694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HYPERLINK("http://141.218.60.56/~jnz1568/getInfo.php?workbook=14_06.xlsx&amp;sheet=U0&amp;row=2941&amp;col=6&amp;number=4.7&amp;sourceID=14","4.7")</f>
        <v>4.7</v>
      </c>
      <c r="G2941" s="4" t="str">
        <f>HYPERLINK("http://141.218.60.56/~jnz1568/getInfo.php?workbook=14_06.xlsx&amp;sheet=U0&amp;row=2941&amp;col=7&amp;number=0.00696&amp;sourceID=14","0.00696")</f>
        <v>0.00696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HYPERLINK("http://141.218.60.56/~jnz1568/getInfo.php?workbook=14_06.xlsx&amp;sheet=U0&amp;row=2942&amp;col=6&amp;number=4.8&amp;sourceID=14","4.8")</f>
        <v>4.8</v>
      </c>
      <c r="G2942" s="4" t="str">
        <f>HYPERLINK("http://141.218.60.56/~jnz1568/getInfo.php?workbook=14_06.xlsx&amp;sheet=U0&amp;row=2942&amp;col=7&amp;number=0.00698&amp;sourceID=14","0.00698")</f>
        <v>0.00698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HYPERLINK("http://141.218.60.56/~jnz1568/getInfo.php?workbook=14_06.xlsx&amp;sheet=U0&amp;row=2943&amp;col=6&amp;number=4.9&amp;sourceID=14","4.9")</f>
        <v>4.9</v>
      </c>
      <c r="G2943" s="4" t="str">
        <f>HYPERLINK("http://141.218.60.56/~jnz1568/getInfo.php?workbook=14_06.xlsx&amp;sheet=U0&amp;row=2943&amp;col=7&amp;number=0.007&amp;sourceID=14","0.007")</f>
        <v>0.007</v>
      </c>
    </row>
    <row r="2944" spans="1:7">
      <c r="A2944" s="3">
        <v>14</v>
      </c>
      <c r="B2944" s="3">
        <v>6</v>
      </c>
      <c r="C2944" s="3">
        <v>4</v>
      </c>
      <c r="D2944" s="3">
        <v>20</v>
      </c>
      <c r="E2944" s="3">
        <v>1</v>
      </c>
      <c r="F2944" s="4" t="str">
        <f>HYPERLINK("http://141.218.60.56/~jnz1568/getInfo.php?workbook=14_06.xlsx&amp;sheet=U0&amp;row=2944&amp;col=6&amp;number=3&amp;sourceID=14","3")</f>
        <v>3</v>
      </c>
      <c r="G2944" s="4" t="str">
        <f>HYPERLINK("http://141.218.60.56/~jnz1568/getInfo.php?workbook=14_06.xlsx&amp;sheet=U0&amp;row=2944&amp;col=7&amp;number=0.000594&amp;sourceID=14","0.000594")</f>
        <v>0.000594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HYPERLINK("http://141.218.60.56/~jnz1568/getInfo.php?workbook=14_06.xlsx&amp;sheet=U0&amp;row=2945&amp;col=6&amp;number=3.1&amp;sourceID=14","3.1")</f>
        <v>3.1</v>
      </c>
      <c r="G2945" s="4" t="str">
        <f>HYPERLINK("http://141.218.60.56/~jnz1568/getInfo.php?workbook=14_06.xlsx&amp;sheet=U0&amp;row=2945&amp;col=7&amp;number=0.000594&amp;sourceID=14","0.000594")</f>
        <v>0.000594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HYPERLINK("http://141.218.60.56/~jnz1568/getInfo.php?workbook=14_06.xlsx&amp;sheet=U0&amp;row=2946&amp;col=6&amp;number=3.2&amp;sourceID=14","3.2")</f>
        <v>3.2</v>
      </c>
      <c r="G2946" s="4" t="str">
        <f>HYPERLINK("http://141.218.60.56/~jnz1568/getInfo.php?workbook=14_06.xlsx&amp;sheet=U0&amp;row=2946&amp;col=7&amp;number=0.000594&amp;sourceID=14","0.000594")</f>
        <v>0.000594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HYPERLINK("http://141.218.60.56/~jnz1568/getInfo.php?workbook=14_06.xlsx&amp;sheet=U0&amp;row=2947&amp;col=6&amp;number=3.3&amp;sourceID=14","3.3")</f>
        <v>3.3</v>
      </c>
      <c r="G2947" s="4" t="str">
        <f>HYPERLINK("http://141.218.60.56/~jnz1568/getInfo.php?workbook=14_06.xlsx&amp;sheet=U0&amp;row=2947&amp;col=7&amp;number=0.000594&amp;sourceID=14","0.000594")</f>
        <v>0.000594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HYPERLINK("http://141.218.60.56/~jnz1568/getInfo.php?workbook=14_06.xlsx&amp;sheet=U0&amp;row=2948&amp;col=6&amp;number=3.4&amp;sourceID=14","3.4")</f>
        <v>3.4</v>
      </c>
      <c r="G2948" s="4" t="str">
        <f>HYPERLINK("http://141.218.60.56/~jnz1568/getInfo.php?workbook=14_06.xlsx&amp;sheet=U0&amp;row=2948&amp;col=7&amp;number=0.000595&amp;sourceID=14","0.000595")</f>
        <v>0.000595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HYPERLINK("http://141.218.60.56/~jnz1568/getInfo.php?workbook=14_06.xlsx&amp;sheet=U0&amp;row=2949&amp;col=6&amp;number=3.5&amp;sourceID=14","3.5")</f>
        <v>3.5</v>
      </c>
      <c r="G2949" s="4" t="str">
        <f>HYPERLINK("http://141.218.60.56/~jnz1568/getInfo.php?workbook=14_06.xlsx&amp;sheet=U0&amp;row=2949&amp;col=7&amp;number=0.000595&amp;sourceID=14","0.000595")</f>
        <v>0.000595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HYPERLINK("http://141.218.60.56/~jnz1568/getInfo.php?workbook=14_06.xlsx&amp;sheet=U0&amp;row=2950&amp;col=6&amp;number=3.6&amp;sourceID=14","3.6")</f>
        <v>3.6</v>
      </c>
      <c r="G2950" s="4" t="str">
        <f>HYPERLINK("http://141.218.60.56/~jnz1568/getInfo.php?workbook=14_06.xlsx&amp;sheet=U0&amp;row=2950&amp;col=7&amp;number=0.000595&amp;sourceID=14","0.000595")</f>
        <v>0.000595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HYPERLINK("http://141.218.60.56/~jnz1568/getInfo.php?workbook=14_06.xlsx&amp;sheet=U0&amp;row=2951&amp;col=6&amp;number=3.7&amp;sourceID=14","3.7")</f>
        <v>3.7</v>
      </c>
      <c r="G2951" s="4" t="str">
        <f>HYPERLINK("http://141.218.60.56/~jnz1568/getInfo.php?workbook=14_06.xlsx&amp;sheet=U0&amp;row=2951&amp;col=7&amp;number=0.000595&amp;sourceID=14","0.000595")</f>
        <v>0.000595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HYPERLINK("http://141.218.60.56/~jnz1568/getInfo.php?workbook=14_06.xlsx&amp;sheet=U0&amp;row=2952&amp;col=6&amp;number=3.8&amp;sourceID=14","3.8")</f>
        <v>3.8</v>
      </c>
      <c r="G2952" s="4" t="str">
        <f>HYPERLINK("http://141.218.60.56/~jnz1568/getInfo.php?workbook=14_06.xlsx&amp;sheet=U0&amp;row=2952&amp;col=7&amp;number=0.000595&amp;sourceID=14","0.000595")</f>
        <v>0.000595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HYPERLINK("http://141.218.60.56/~jnz1568/getInfo.php?workbook=14_06.xlsx&amp;sheet=U0&amp;row=2953&amp;col=6&amp;number=3.9&amp;sourceID=14","3.9")</f>
        <v>3.9</v>
      </c>
      <c r="G2953" s="4" t="str">
        <f>HYPERLINK("http://141.218.60.56/~jnz1568/getInfo.php?workbook=14_06.xlsx&amp;sheet=U0&amp;row=2953&amp;col=7&amp;number=0.000596&amp;sourceID=14","0.000596")</f>
        <v>0.000596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HYPERLINK("http://141.218.60.56/~jnz1568/getInfo.php?workbook=14_06.xlsx&amp;sheet=U0&amp;row=2954&amp;col=6&amp;number=4&amp;sourceID=14","4")</f>
        <v>4</v>
      </c>
      <c r="G2954" s="4" t="str">
        <f>HYPERLINK("http://141.218.60.56/~jnz1568/getInfo.php?workbook=14_06.xlsx&amp;sheet=U0&amp;row=2954&amp;col=7&amp;number=0.000596&amp;sourceID=14","0.000596")</f>
        <v>0.000596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HYPERLINK("http://141.218.60.56/~jnz1568/getInfo.php?workbook=14_06.xlsx&amp;sheet=U0&amp;row=2955&amp;col=6&amp;number=4.1&amp;sourceID=14","4.1")</f>
        <v>4.1</v>
      </c>
      <c r="G2955" s="4" t="str">
        <f>HYPERLINK("http://141.218.60.56/~jnz1568/getInfo.php?workbook=14_06.xlsx&amp;sheet=U0&amp;row=2955&amp;col=7&amp;number=0.000597&amp;sourceID=14","0.000597")</f>
        <v>0.000597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HYPERLINK("http://141.218.60.56/~jnz1568/getInfo.php?workbook=14_06.xlsx&amp;sheet=U0&amp;row=2956&amp;col=6&amp;number=4.2&amp;sourceID=14","4.2")</f>
        <v>4.2</v>
      </c>
      <c r="G2956" s="4" t="str">
        <f>HYPERLINK("http://141.218.60.56/~jnz1568/getInfo.php?workbook=14_06.xlsx&amp;sheet=U0&amp;row=2956&amp;col=7&amp;number=0.000597&amp;sourceID=14","0.000597")</f>
        <v>0.000597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HYPERLINK("http://141.218.60.56/~jnz1568/getInfo.php?workbook=14_06.xlsx&amp;sheet=U0&amp;row=2957&amp;col=6&amp;number=4.3&amp;sourceID=14","4.3")</f>
        <v>4.3</v>
      </c>
      <c r="G2957" s="4" t="str">
        <f>HYPERLINK("http://141.218.60.56/~jnz1568/getInfo.php?workbook=14_06.xlsx&amp;sheet=U0&amp;row=2957&amp;col=7&amp;number=0.000598&amp;sourceID=14","0.000598")</f>
        <v>0.000598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HYPERLINK("http://141.218.60.56/~jnz1568/getInfo.php?workbook=14_06.xlsx&amp;sheet=U0&amp;row=2958&amp;col=6&amp;number=4.4&amp;sourceID=14","4.4")</f>
        <v>4.4</v>
      </c>
      <c r="G2958" s="4" t="str">
        <f>HYPERLINK("http://141.218.60.56/~jnz1568/getInfo.php?workbook=14_06.xlsx&amp;sheet=U0&amp;row=2958&amp;col=7&amp;number=0.000599&amp;sourceID=14","0.000599")</f>
        <v>0.000599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HYPERLINK("http://141.218.60.56/~jnz1568/getInfo.php?workbook=14_06.xlsx&amp;sheet=U0&amp;row=2959&amp;col=6&amp;number=4.5&amp;sourceID=14","4.5")</f>
        <v>4.5</v>
      </c>
      <c r="G2959" s="4" t="str">
        <f>HYPERLINK("http://141.218.60.56/~jnz1568/getInfo.php?workbook=14_06.xlsx&amp;sheet=U0&amp;row=2959&amp;col=7&amp;number=0.0006&amp;sourceID=14","0.0006")</f>
        <v>0.0006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HYPERLINK("http://141.218.60.56/~jnz1568/getInfo.php?workbook=14_06.xlsx&amp;sheet=U0&amp;row=2960&amp;col=6&amp;number=4.6&amp;sourceID=14","4.6")</f>
        <v>4.6</v>
      </c>
      <c r="G2960" s="4" t="str">
        <f>HYPERLINK("http://141.218.60.56/~jnz1568/getInfo.php?workbook=14_06.xlsx&amp;sheet=U0&amp;row=2960&amp;col=7&amp;number=0.000602&amp;sourceID=14","0.000602")</f>
        <v>0.000602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HYPERLINK("http://141.218.60.56/~jnz1568/getInfo.php?workbook=14_06.xlsx&amp;sheet=U0&amp;row=2961&amp;col=6&amp;number=4.7&amp;sourceID=14","4.7")</f>
        <v>4.7</v>
      </c>
      <c r="G2961" s="4" t="str">
        <f>HYPERLINK("http://141.218.60.56/~jnz1568/getInfo.php?workbook=14_06.xlsx&amp;sheet=U0&amp;row=2961&amp;col=7&amp;number=0.000604&amp;sourceID=14","0.000604")</f>
        <v>0.000604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HYPERLINK("http://141.218.60.56/~jnz1568/getInfo.php?workbook=14_06.xlsx&amp;sheet=U0&amp;row=2962&amp;col=6&amp;number=4.8&amp;sourceID=14","4.8")</f>
        <v>4.8</v>
      </c>
      <c r="G2962" s="4" t="str">
        <f>HYPERLINK("http://141.218.60.56/~jnz1568/getInfo.php?workbook=14_06.xlsx&amp;sheet=U0&amp;row=2962&amp;col=7&amp;number=0.000606&amp;sourceID=14","0.000606")</f>
        <v>0.000606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HYPERLINK("http://141.218.60.56/~jnz1568/getInfo.php?workbook=14_06.xlsx&amp;sheet=U0&amp;row=2963&amp;col=6&amp;number=4.9&amp;sourceID=14","4.9")</f>
        <v>4.9</v>
      </c>
      <c r="G2963" s="4" t="str">
        <f>HYPERLINK("http://141.218.60.56/~jnz1568/getInfo.php?workbook=14_06.xlsx&amp;sheet=U0&amp;row=2963&amp;col=7&amp;number=0.000609&amp;sourceID=14","0.000609")</f>
        <v>0.000609</v>
      </c>
    </row>
    <row r="2964" spans="1:7">
      <c r="A2964" s="3">
        <v>14</v>
      </c>
      <c r="B2964" s="3">
        <v>6</v>
      </c>
      <c r="C2964" s="3">
        <v>4</v>
      </c>
      <c r="D2964" s="3">
        <v>21</v>
      </c>
      <c r="E2964" s="3">
        <v>1</v>
      </c>
      <c r="F2964" s="4" t="str">
        <f>HYPERLINK("http://141.218.60.56/~jnz1568/getInfo.php?workbook=14_06.xlsx&amp;sheet=U0&amp;row=2964&amp;col=6&amp;number=3&amp;sourceID=14","3")</f>
        <v>3</v>
      </c>
      <c r="G2964" s="4" t="str">
        <f>HYPERLINK("http://141.218.60.56/~jnz1568/getInfo.php?workbook=14_06.xlsx&amp;sheet=U0&amp;row=2964&amp;col=7&amp;number=0.00216&amp;sourceID=14","0.00216")</f>
        <v>0.00216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HYPERLINK("http://141.218.60.56/~jnz1568/getInfo.php?workbook=14_06.xlsx&amp;sheet=U0&amp;row=2965&amp;col=6&amp;number=3.1&amp;sourceID=14","3.1")</f>
        <v>3.1</v>
      </c>
      <c r="G2965" s="4" t="str">
        <f>HYPERLINK("http://141.218.60.56/~jnz1568/getInfo.php?workbook=14_06.xlsx&amp;sheet=U0&amp;row=2965&amp;col=7&amp;number=0.00216&amp;sourceID=14","0.00216")</f>
        <v>0.00216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HYPERLINK("http://141.218.60.56/~jnz1568/getInfo.php?workbook=14_06.xlsx&amp;sheet=U0&amp;row=2966&amp;col=6&amp;number=3.2&amp;sourceID=14","3.2")</f>
        <v>3.2</v>
      </c>
      <c r="G2966" s="4" t="str">
        <f>HYPERLINK("http://141.218.60.56/~jnz1568/getInfo.php?workbook=14_06.xlsx&amp;sheet=U0&amp;row=2966&amp;col=7&amp;number=0.00215&amp;sourceID=14","0.00215")</f>
        <v>0.00215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HYPERLINK("http://141.218.60.56/~jnz1568/getInfo.php?workbook=14_06.xlsx&amp;sheet=U0&amp;row=2967&amp;col=6&amp;number=3.3&amp;sourceID=14","3.3")</f>
        <v>3.3</v>
      </c>
      <c r="G2967" s="4" t="str">
        <f>HYPERLINK("http://141.218.60.56/~jnz1568/getInfo.php?workbook=14_06.xlsx&amp;sheet=U0&amp;row=2967&amp;col=7&amp;number=0.00215&amp;sourceID=14","0.00215")</f>
        <v>0.00215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HYPERLINK("http://141.218.60.56/~jnz1568/getInfo.php?workbook=14_06.xlsx&amp;sheet=U0&amp;row=2968&amp;col=6&amp;number=3.4&amp;sourceID=14","3.4")</f>
        <v>3.4</v>
      </c>
      <c r="G2968" s="4" t="str">
        <f>HYPERLINK("http://141.218.60.56/~jnz1568/getInfo.php?workbook=14_06.xlsx&amp;sheet=U0&amp;row=2968&amp;col=7&amp;number=0.00215&amp;sourceID=14","0.00215")</f>
        <v>0.00215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HYPERLINK("http://141.218.60.56/~jnz1568/getInfo.php?workbook=14_06.xlsx&amp;sheet=U0&amp;row=2969&amp;col=6&amp;number=3.5&amp;sourceID=14","3.5")</f>
        <v>3.5</v>
      </c>
      <c r="G2969" s="4" t="str">
        <f>HYPERLINK("http://141.218.60.56/~jnz1568/getInfo.php?workbook=14_06.xlsx&amp;sheet=U0&amp;row=2969&amp;col=7&amp;number=0.00215&amp;sourceID=14","0.00215")</f>
        <v>0.00215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HYPERLINK("http://141.218.60.56/~jnz1568/getInfo.php?workbook=14_06.xlsx&amp;sheet=U0&amp;row=2970&amp;col=6&amp;number=3.6&amp;sourceID=14","3.6")</f>
        <v>3.6</v>
      </c>
      <c r="G2970" s="4" t="str">
        <f>HYPERLINK("http://141.218.60.56/~jnz1568/getInfo.php?workbook=14_06.xlsx&amp;sheet=U0&amp;row=2970&amp;col=7&amp;number=0.00215&amp;sourceID=14","0.00215")</f>
        <v>0.00215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HYPERLINK("http://141.218.60.56/~jnz1568/getInfo.php?workbook=14_06.xlsx&amp;sheet=U0&amp;row=2971&amp;col=6&amp;number=3.7&amp;sourceID=14","3.7")</f>
        <v>3.7</v>
      </c>
      <c r="G2971" s="4" t="str">
        <f>HYPERLINK("http://141.218.60.56/~jnz1568/getInfo.php?workbook=14_06.xlsx&amp;sheet=U0&amp;row=2971&amp;col=7&amp;number=0.00215&amp;sourceID=14","0.00215")</f>
        <v>0.00215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HYPERLINK("http://141.218.60.56/~jnz1568/getInfo.php?workbook=14_06.xlsx&amp;sheet=U0&amp;row=2972&amp;col=6&amp;number=3.8&amp;sourceID=14","3.8")</f>
        <v>3.8</v>
      </c>
      <c r="G2972" s="4" t="str">
        <f>HYPERLINK("http://141.218.60.56/~jnz1568/getInfo.php?workbook=14_06.xlsx&amp;sheet=U0&amp;row=2972&amp;col=7&amp;number=0.00215&amp;sourceID=14","0.00215")</f>
        <v>0.00215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HYPERLINK("http://141.218.60.56/~jnz1568/getInfo.php?workbook=14_06.xlsx&amp;sheet=U0&amp;row=2973&amp;col=6&amp;number=3.9&amp;sourceID=14","3.9")</f>
        <v>3.9</v>
      </c>
      <c r="G2973" s="4" t="str">
        <f>HYPERLINK("http://141.218.60.56/~jnz1568/getInfo.php?workbook=14_06.xlsx&amp;sheet=U0&amp;row=2973&amp;col=7&amp;number=0.00215&amp;sourceID=14","0.00215")</f>
        <v>0.00215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HYPERLINK("http://141.218.60.56/~jnz1568/getInfo.php?workbook=14_06.xlsx&amp;sheet=U0&amp;row=2974&amp;col=6&amp;number=4&amp;sourceID=14","4")</f>
        <v>4</v>
      </c>
      <c r="G2974" s="4" t="str">
        <f>HYPERLINK("http://141.218.60.56/~jnz1568/getInfo.php?workbook=14_06.xlsx&amp;sheet=U0&amp;row=2974&amp;col=7&amp;number=0.00215&amp;sourceID=14","0.00215")</f>
        <v>0.00215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HYPERLINK("http://141.218.60.56/~jnz1568/getInfo.php?workbook=14_06.xlsx&amp;sheet=U0&amp;row=2975&amp;col=6&amp;number=4.1&amp;sourceID=14","4.1")</f>
        <v>4.1</v>
      </c>
      <c r="G2975" s="4" t="str">
        <f>HYPERLINK("http://141.218.60.56/~jnz1568/getInfo.php?workbook=14_06.xlsx&amp;sheet=U0&amp;row=2975&amp;col=7&amp;number=0.00215&amp;sourceID=14","0.00215")</f>
        <v>0.00215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HYPERLINK("http://141.218.60.56/~jnz1568/getInfo.php?workbook=14_06.xlsx&amp;sheet=U0&amp;row=2976&amp;col=6&amp;number=4.2&amp;sourceID=14","4.2")</f>
        <v>4.2</v>
      </c>
      <c r="G2976" s="4" t="str">
        <f>HYPERLINK("http://141.218.60.56/~jnz1568/getInfo.php?workbook=14_06.xlsx&amp;sheet=U0&amp;row=2976&amp;col=7&amp;number=0.00215&amp;sourceID=14","0.00215")</f>
        <v>0.00215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HYPERLINK("http://141.218.60.56/~jnz1568/getInfo.php?workbook=14_06.xlsx&amp;sheet=U0&amp;row=2977&amp;col=6&amp;number=4.3&amp;sourceID=14","4.3")</f>
        <v>4.3</v>
      </c>
      <c r="G2977" s="4" t="str">
        <f>HYPERLINK("http://141.218.60.56/~jnz1568/getInfo.php?workbook=14_06.xlsx&amp;sheet=U0&amp;row=2977&amp;col=7&amp;number=0.00214&amp;sourceID=14","0.00214")</f>
        <v>0.00214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HYPERLINK("http://141.218.60.56/~jnz1568/getInfo.php?workbook=14_06.xlsx&amp;sheet=U0&amp;row=2978&amp;col=6&amp;number=4.4&amp;sourceID=14","4.4")</f>
        <v>4.4</v>
      </c>
      <c r="G2978" s="4" t="str">
        <f>HYPERLINK("http://141.218.60.56/~jnz1568/getInfo.php?workbook=14_06.xlsx&amp;sheet=U0&amp;row=2978&amp;col=7&amp;number=0.00214&amp;sourceID=14","0.00214")</f>
        <v>0.00214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HYPERLINK("http://141.218.60.56/~jnz1568/getInfo.php?workbook=14_06.xlsx&amp;sheet=U0&amp;row=2979&amp;col=6&amp;number=4.5&amp;sourceID=14","4.5")</f>
        <v>4.5</v>
      </c>
      <c r="G2979" s="4" t="str">
        <f>HYPERLINK("http://141.218.60.56/~jnz1568/getInfo.php?workbook=14_06.xlsx&amp;sheet=U0&amp;row=2979&amp;col=7&amp;number=0.00214&amp;sourceID=14","0.00214")</f>
        <v>0.00214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HYPERLINK("http://141.218.60.56/~jnz1568/getInfo.php?workbook=14_06.xlsx&amp;sheet=U0&amp;row=2980&amp;col=6&amp;number=4.6&amp;sourceID=14","4.6")</f>
        <v>4.6</v>
      </c>
      <c r="G2980" s="4" t="str">
        <f>HYPERLINK("http://141.218.60.56/~jnz1568/getInfo.php?workbook=14_06.xlsx&amp;sheet=U0&amp;row=2980&amp;col=7&amp;number=0.00213&amp;sourceID=14","0.00213")</f>
        <v>0.00213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HYPERLINK("http://141.218.60.56/~jnz1568/getInfo.php?workbook=14_06.xlsx&amp;sheet=U0&amp;row=2981&amp;col=6&amp;number=4.7&amp;sourceID=14","4.7")</f>
        <v>4.7</v>
      </c>
      <c r="G2981" s="4" t="str">
        <f>HYPERLINK("http://141.218.60.56/~jnz1568/getInfo.php?workbook=14_06.xlsx&amp;sheet=U0&amp;row=2981&amp;col=7&amp;number=0.00212&amp;sourceID=14","0.00212")</f>
        <v>0.00212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HYPERLINK("http://141.218.60.56/~jnz1568/getInfo.php?workbook=14_06.xlsx&amp;sheet=U0&amp;row=2982&amp;col=6&amp;number=4.8&amp;sourceID=14","4.8")</f>
        <v>4.8</v>
      </c>
      <c r="G2982" s="4" t="str">
        <f>HYPERLINK("http://141.218.60.56/~jnz1568/getInfo.php?workbook=14_06.xlsx&amp;sheet=U0&amp;row=2982&amp;col=7&amp;number=0.00211&amp;sourceID=14","0.00211")</f>
        <v>0.00211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HYPERLINK("http://141.218.60.56/~jnz1568/getInfo.php?workbook=14_06.xlsx&amp;sheet=U0&amp;row=2983&amp;col=6&amp;number=4.9&amp;sourceID=14","4.9")</f>
        <v>4.9</v>
      </c>
      <c r="G2983" s="4" t="str">
        <f>HYPERLINK("http://141.218.60.56/~jnz1568/getInfo.php?workbook=14_06.xlsx&amp;sheet=U0&amp;row=2983&amp;col=7&amp;number=0.0021&amp;sourceID=14","0.0021")</f>
        <v>0.0021</v>
      </c>
    </row>
    <row r="2984" spans="1:7">
      <c r="A2984" s="3">
        <v>14</v>
      </c>
      <c r="B2984" s="3">
        <v>6</v>
      </c>
      <c r="C2984" s="3">
        <v>4</v>
      </c>
      <c r="D2984" s="3">
        <v>22</v>
      </c>
      <c r="E2984" s="3">
        <v>1</v>
      </c>
      <c r="F2984" s="4" t="str">
        <f>HYPERLINK("http://141.218.60.56/~jnz1568/getInfo.php?workbook=14_06.xlsx&amp;sheet=U0&amp;row=2984&amp;col=6&amp;number=3&amp;sourceID=14","3")</f>
        <v>3</v>
      </c>
      <c r="G2984" s="4" t="str">
        <f>HYPERLINK("http://141.218.60.56/~jnz1568/getInfo.php?workbook=14_06.xlsx&amp;sheet=U0&amp;row=2984&amp;col=7&amp;number=0.00703&amp;sourceID=14","0.00703")</f>
        <v>0.00703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HYPERLINK("http://141.218.60.56/~jnz1568/getInfo.php?workbook=14_06.xlsx&amp;sheet=U0&amp;row=2985&amp;col=6&amp;number=3.1&amp;sourceID=14","3.1")</f>
        <v>3.1</v>
      </c>
      <c r="G2985" s="4" t="str">
        <f>HYPERLINK("http://141.218.60.56/~jnz1568/getInfo.php?workbook=14_06.xlsx&amp;sheet=U0&amp;row=2985&amp;col=7&amp;number=0.00703&amp;sourceID=14","0.00703")</f>
        <v>0.00703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HYPERLINK("http://141.218.60.56/~jnz1568/getInfo.php?workbook=14_06.xlsx&amp;sheet=U0&amp;row=2986&amp;col=6&amp;number=3.2&amp;sourceID=14","3.2")</f>
        <v>3.2</v>
      </c>
      <c r="G2986" s="4" t="str">
        <f>HYPERLINK("http://141.218.60.56/~jnz1568/getInfo.php?workbook=14_06.xlsx&amp;sheet=U0&amp;row=2986&amp;col=7&amp;number=0.00703&amp;sourceID=14","0.00703")</f>
        <v>0.00703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HYPERLINK("http://141.218.60.56/~jnz1568/getInfo.php?workbook=14_06.xlsx&amp;sheet=U0&amp;row=2987&amp;col=6&amp;number=3.3&amp;sourceID=14","3.3")</f>
        <v>3.3</v>
      </c>
      <c r="G2987" s="4" t="str">
        <f>HYPERLINK("http://141.218.60.56/~jnz1568/getInfo.php?workbook=14_06.xlsx&amp;sheet=U0&amp;row=2987&amp;col=7&amp;number=0.00703&amp;sourceID=14","0.00703")</f>
        <v>0.00703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HYPERLINK("http://141.218.60.56/~jnz1568/getInfo.php?workbook=14_06.xlsx&amp;sheet=U0&amp;row=2988&amp;col=6&amp;number=3.4&amp;sourceID=14","3.4")</f>
        <v>3.4</v>
      </c>
      <c r="G2988" s="4" t="str">
        <f>HYPERLINK("http://141.218.60.56/~jnz1568/getInfo.php?workbook=14_06.xlsx&amp;sheet=U0&amp;row=2988&amp;col=7&amp;number=0.00703&amp;sourceID=14","0.00703")</f>
        <v>0.00703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HYPERLINK("http://141.218.60.56/~jnz1568/getInfo.php?workbook=14_06.xlsx&amp;sheet=U0&amp;row=2989&amp;col=6&amp;number=3.5&amp;sourceID=14","3.5")</f>
        <v>3.5</v>
      </c>
      <c r="G2989" s="4" t="str">
        <f>HYPERLINK("http://141.218.60.56/~jnz1568/getInfo.php?workbook=14_06.xlsx&amp;sheet=U0&amp;row=2989&amp;col=7&amp;number=0.00702&amp;sourceID=14","0.00702")</f>
        <v>0.00702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HYPERLINK("http://141.218.60.56/~jnz1568/getInfo.php?workbook=14_06.xlsx&amp;sheet=U0&amp;row=2990&amp;col=6&amp;number=3.6&amp;sourceID=14","3.6")</f>
        <v>3.6</v>
      </c>
      <c r="G2990" s="4" t="str">
        <f>HYPERLINK("http://141.218.60.56/~jnz1568/getInfo.php?workbook=14_06.xlsx&amp;sheet=U0&amp;row=2990&amp;col=7&amp;number=0.00702&amp;sourceID=14","0.00702")</f>
        <v>0.00702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HYPERLINK("http://141.218.60.56/~jnz1568/getInfo.php?workbook=14_06.xlsx&amp;sheet=U0&amp;row=2991&amp;col=6&amp;number=3.7&amp;sourceID=14","3.7")</f>
        <v>3.7</v>
      </c>
      <c r="G2991" s="4" t="str">
        <f>HYPERLINK("http://141.218.60.56/~jnz1568/getInfo.php?workbook=14_06.xlsx&amp;sheet=U0&amp;row=2991&amp;col=7&amp;number=0.00702&amp;sourceID=14","0.00702")</f>
        <v>0.00702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HYPERLINK("http://141.218.60.56/~jnz1568/getInfo.php?workbook=14_06.xlsx&amp;sheet=U0&amp;row=2992&amp;col=6&amp;number=3.8&amp;sourceID=14","3.8")</f>
        <v>3.8</v>
      </c>
      <c r="G2992" s="4" t="str">
        <f>HYPERLINK("http://141.218.60.56/~jnz1568/getInfo.php?workbook=14_06.xlsx&amp;sheet=U0&amp;row=2992&amp;col=7&amp;number=0.00702&amp;sourceID=14","0.00702")</f>
        <v>0.00702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HYPERLINK("http://141.218.60.56/~jnz1568/getInfo.php?workbook=14_06.xlsx&amp;sheet=U0&amp;row=2993&amp;col=6&amp;number=3.9&amp;sourceID=14","3.9")</f>
        <v>3.9</v>
      </c>
      <c r="G2993" s="4" t="str">
        <f>HYPERLINK("http://141.218.60.56/~jnz1568/getInfo.php?workbook=14_06.xlsx&amp;sheet=U0&amp;row=2993&amp;col=7&amp;number=0.00701&amp;sourceID=14","0.00701")</f>
        <v>0.00701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HYPERLINK("http://141.218.60.56/~jnz1568/getInfo.php?workbook=14_06.xlsx&amp;sheet=U0&amp;row=2994&amp;col=6&amp;number=4&amp;sourceID=14","4")</f>
        <v>4</v>
      </c>
      <c r="G2994" s="4" t="str">
        <f>HYPERLINK("http://141.218.60.56/~jnz1568/getInfo.php?workbook=14_06.xlsx&amp;sheet=U0&amp;row=2994&amp;col=7&amp;number=0.00701&amp;sourceID=14","0.00701")</f>
        <v>0.00701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HYPERLINK("http://141.218.60.56/~jnz1568/getInfo.php?workbook=14_06.xlsx&amp;sheet=U0&amp;row=2995&amp;col=6&amp;number=4.1&amp;sourceID=14","4.1")</f>
        <v>4.1</v>
      </c>
      <c r="G2995" s="4" t="str">
        <f>HYPERLINK("http://141.218.60.56/~jnz1568/getInfo.php?workbook=14_06.xlsx&amp;sheet=U0&amp;row=2995&amp;col=7&amp;number=0.007&amp;sourceID=14","0.007")</f>
        <v>0.007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HYPERLINK("http://141.218.60.56/~jnz1568/getInfo.php?workbook=14_06.xlsx&amp;sheet=U0&amp;row=2996&amp;col=6&amp;number=4.2&amp;sourceID=14","4.2")</f>
        <v>4.2</v>
      </c>
      <c r="G2996" s="4" t="str">
        <f>HYPERLINK("http://141.218.60.56/~jnz1568/getInfo.php?workbook=14_06.xlsx&amp;sheet=U0&amp;row=2996&amp;col=7&amp;number=0.007&amp;sourceID=14","0.007")</f>
        <v>0.007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HYPERLINK("http://141.218.60.56/~jnz1568/getInfo.php?workbook=14_06.xlsx&amp;sheet=U0&amp;row=2997&amp;col=6&amp;number=4.3&amp;sourceID=14","4.3")</f>
        <v>4.3</v>
      </c>
      <c r="G2997" s="4" t="str">
        <f>HYPERLINK("http://141.218.60.56/~jnz1568/getInfo.php?workbook=14_06.xlsx&amp;sheet=U0&amp;row=2997&amp;col=7&amp;number=0.00699&amp;sourceID=14","0.00699")</f>
        <v>0.00699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HYPERLINK("http://141.218.60.56/~jnz1568/getInfo.php?workbook=14_06.xlsx&amp;sheet=U0&amp;row=2998&amp;col=6&amp;number=4.4&amp;sourceID=14","4.4")</f>
        <v>4.4</v>
      </c>
      <c r="G2998" s="4" t="str">
        <f>HYPERLINK("http://141.218.60.56/~jnz1568/getInfo.php?workbook=14_06.xlsx&amp;sheet=U0&amp;row=2998&amp;col=7&amp;number=0.00697&amp;sourceID=14","0.00697")</f>
        <v>0.00697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HYPERLINK("http://141.218.60.56/~jnz1568/getInfo.php?workbook=14_06.xlsx&amp;sheet=U0&amp;row=2999&amp;col=6&amp;number=4.5&amp;sourceID=14","4.5")</f>
        <v>4.5</v>
      </c>
      <c r="G2999" s="4" t="str">
        <f>HYPERLINK("http://141.218.60.56/~jnz1568/getInfo.php?workbook=14_06.xlsx&amp;sheet=U0&amp;row=2999&amp;col=7&amp;number=0.00696&amp;sourceID=14","0.00696")</f>
        <v>0.00696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HYPERLINK("http://141.218.60.56/~jnz1568/getInfo.php?workbook=14_06.xlsx&amp;sheet=U0&amp;row=3000&amp;col=6&amp;number=4.6&amp;sourceID=14","4.6")</f>
        <v>4.6</v>
      </c>
      <c r="G3000" s="4" t="str">
        <f>HYPERLINK("http://141.218.60.56/~jnz1568/getInfo.php?workbook=14_06.xlsx&amp;sheet=U0&amp;row=3000&amp;col=7&amp;number=0.00694&amp;sourceID=14","0.00694")</f>
        <v>0.00694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HYPERLINK("http://141.218.60.56/~jnz1568/getInfo.php?workbook=14_06.xlsx&amp;sheet=U0&amp;row=3001&amp;col=6&amp;number=4.7&amp;sourceID=14","4.7")</f>
        <v>4.7</v>
      </c>
      <c r="G3001" s="4" t="str">
        <f>HYPERLINK("http://141.218.60.56/~jnz1568/getInfo.php?workbook=14_06.xlsx&amp;sheet=U0&amp;row=3001&amp;col=7&amp;number=0.00692&amp;sourceID=14","0.00692")</f>
        <v>0.00692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HYPERLINK("http://141.218.60.56/~jnz1568/getInfo.php?workbook=14_06.xlsx&amp;sheet=U0&amp;row=3002&amp;col=6&amp;number=4.8&amp;sourceID=14","4.8")</f>
        <v>4.8</v>
      </c>
      <c r="G3002" s="4" t="str">
        <f>HYPERLINK("http://141.218.60.56/~jnz1568/getInfo.php?workbook=14_06.xlsx&amp;sheet=U0&amp;row=3002&amp;col=7&amp;number=0.00689&amp;sourceID=14","0.00689")</f>
        <v>0.00689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HYPERLINK("http://141.218.60.56/~jnz1568/getInfo.php?workbook=14_06.xlsx&amp;sheet=U0&amp;row=3003&amp;col=6&amp;number=4.9&amp;sourceID=14","4.9")</f>
        <v>4.9</v>
      </c>
      <c r="G3003" s="4" t="str">
        <f>HYPERLINK("http://141.218.60.56/~jnz1568/getInfo.php?workbook=14_06.xlsx&amp;sheet=U0&amp;row=3003&amp;col=7&amp;number=0.00685&amp;sourceID=14","0.00685")</f>
        <v>0.00685</v>
      </c>
    </row>
    <row r="3004" spans="1:7">
      <c r="A3004" s="3">
        <v>14</v>
      </c>
      <c r="B3004" s="3">
        <v>6</v>
      </c>
      <c r="C3004" s="3">
        <v>4</v>
      </c>
      <c r="D3004" s="3">
        <v>23</v>
      </c>
      <c r="E3004" s="3">
        <v>1</v>
      </c>
      <c r="F3004" s="4" t="str">
        <f>HYPERLINK("http://141.218.60.56/~jnz1568/getInfo.php?workbook=14_06.xlsx&amp;sheet=U0&amp;row=3004&amp;col=6&amp;number=3&amp;sourceID=14","3")</f>
        <v>3</v>
      </c>
      <c r="G3004" s="4" t="str">
        <f>HYPERLINK("http://141.218.60.56/~jnz1568/getInfo.php?workbook=14_06.xlsx&amp;sheet=U0&amp;row=3004&amp;col=7&amp;number=0.0128&amp;sourceID=14","0.0128")</f>
        <v>0.0128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HYPERLINK("http://141.218.60.56/~jnz1568/getInfo.php?workbook=14_06.xlsx&amp;sheet=U0&amp;row=3005&amp;col=6&amp;number=3.1&amp;sourceID=14","3.1")</f>
        <v>3.1</v>
      </c>
      <c r="G3005" s="4" t="str">
        <f>HYPERLINK("http://141.218.60.56/~jnz1568/getInfo.php?workbook=14_06.xlsx&amp;sheet=U0&amp;row=3005&amp;col=7&amp;number=0.0128&amp;sourceID=14","0.0128")</f>
        <v>0.0128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HYPERLINK("http://141.218.60.56/~jnz1568/getInfo.php?workbook=14_06.xlsx&amp;sheet=U0&amp;row=3006&amp;col=6&amp;number=3.2&amp;sourceID=14","3.2")</f>
        <v>3.2</v>
      </c>
      <c r="G3006" s="4" t="str">
        <f>HYPERLINK("http://141.218.60.56/~jnz1568/getInfo.php?workbook=14_06.xlsx&amp;sheet=U0&amp;row=3006&amp;col=7&amp;number=0.0128&amp;sourceID=14","0.0128")</f>
        <v>0.0128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HYPERLINK("http://141.218.60.56/~jnz1568/getInfo.php?workbook=14_06.xlsx&amp;sheet=U0&amp;row=3007&amp;col=6&amp;number=3.3&amp;sourceID=14","3.3")</f>
        <v>3.3</v>
      </c>
      <c r="G3007" s="4" t="str">
        <f>HYPERLINK("http://141.218.60.56/~jnz1568/getInfo.php?workbook=14_06.xlsx&amp;sheet=U0&amp;row=3007&amp;col=7&amp;number=0.0128&amp;sourceID=14","0.0128")</f>
        <v>0.0128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HYPERLINK("http://141.218.60.56/~jnz1568/getInfo.php?workbook=14_06.xlsx&amp;sheet=U0&amp;row=3008&amp;col=6&amp;number=3.4&amp;sourceID=14","3.4")</f>
        <v>3.4</v>
      </c>
      <c r="G3008" s="4" t="str">
        <f>HYPERLINK("http://141.218.60.56/~jnz1568/getInfo.php?workbook=14_06.xlsx&amp;sheet=U0&amp;row=3008&amp;col=7&amp;number=0.0128&amp;sourceID=14","0.0128")</f>
        <v>0.0128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HYPERLINK("http://141.218.60.56/~jnz1568/getInfo.php?workbook=14_06.xlsx&amp;sheet=U0&amp;row=3009&amp;col=6&amp;number=3.5&amp;sourceID=14","3.5")</f>
        <v>3.5</v>
      </c>
      <c r="G3009" s="4" t="str">
        <f>HYPERLINK("http://141.218.60.56/~jnz1568/getInfo.php?workbook=14_06.xlsx&amp;sheet=U0&amp;row=3009&amp;col=7&amp;number=0.0128&amp;sourceID=14","0.0128")</f>
        <v>0.0128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HYPERLINK("http://141.218.60.56/~jnz1568/getInfo.php?workbook=14_06.xlsx&amp;sheet=U0&amp;row=3010&amp;col=6&amp;number=3.6&amp;sourceID=14","3.6")</f>
        <v>3.6</v>
      </c>
      <c r="G3010" s="4" t="str">
        <f>HYPERLINK("http://141.218.60.56/~jnz1568/getInfo.php?workbook=14_06.xlsx&amp;sheet=U0&amp;row=3010&amp;col=7&amp;number=0.0128&amp;sourceID=14","0.0128")</f>
        <v>0.0128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HYPERLINK("http://141.218.60.56/~jnz1568/getInfo.php?workbook=14_06.xlsx&amp;sheet=U0&amp;row=3011&amp;col=6&amp;number=3.7&amp;sourceID=14","3.7")</f>
        <v>3.7</v>
      </c>
      <c r="G3011" s="4" t="str">
        <f>HYPERLINK("http://141.218.60.56/~jnz1568/getInfo.php?workbook=14_06.xlsx&amp;sheet=U0&amp;row=3011&amp;col=7&amp;number=0.0128&amp;sourceID=14","0.0128")</f>
        <v>0.0128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HYPERLINK("http://141.218.60.56/~jnz1568/getInfo.php?workbook=14_06.xlsx&amp;sheet=U0&amp;row=3012&amp;col=6&amp;number=3.8&amp;sourceID=14","3.8")</f>
        <v>3.8</v>
      </c>
      <c r="G3012" s="4" t="str">
        <f>HYPERLINK("http://141.218.60.56/~jnz1568/getInfo.php?workbook=14_06.xlsx&amp;sheet=U0&amp;row=3012&amp;col=7&amp;number=0.0128&amp;sourceID=14","0.0128")</f>
        <v>0.0128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HYPERLINK("http://141.218.60.56/~jnz1568/getInfo.php?workbook=14_06.xlsx&amp;sheet=U0&amp;row=3013&amp;col=6&amp;number=3.9&amp;sourceID=14","3.9")</f>
        <v>3.9</v>
      </c>
      <c r="G3013" s="4" t="str">
        <f>HYPERLINK("http://141.218.60.56/~jnz1568/getInfo.php?workbook=14_06.xlsx&amp;sheet=U0&amp;row=3013&amp;col=7&amp;number=0.0127&amp;sourceID=14","0.0127")</f>
        <v>0.0127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HYPERLINK("http://141.218.60.56/~jnz1568/getInfo.php?workbook=14_06.xlsx&amp;sheet=U0&amp;row=3014&amp;col=6&amp;number=4&amp;sourceID=14","4")</f>
        <v>4</v>
      </c>
      <c r="G3014" s="4" t="str">
        <f>HYPERLINK("http://141.218.60.56/~jnz1568/getInfo.php?workbook=14_06.xlsx&amp;sheet=U0&amp;row=3014&amp;col=7&amp;number=0.0127&amp;sourceID=14","0.0127")</f>
        <v>0.0127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HYPERLINK("http://141.218.60.56/~jnz1568/getInfo.php?workbook=14_06.xlsx&amp;sheet=U0&amp;row=3015&amp;col=6&amp;number=4.1&amp;sourceID=14","4.1")</f>
        <v>4.1</v>
      </c>
      <c r="G3015" s="4" t="str">
        <f>HYPERLINK("http://141.218.60.56/~jnz1568/getInfo.php?workbook=14_06.xlsx&amp;sheet=U0&amp;row=3015&amp;col=7&amp;number=0.0127&amp;sourceID=14","0.0127")</f>
        <v>0.0127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HYPERLINK("http://141.218.60.56/~jnz1568/getInfo.php?workbook=14_06.xlsx&amp;sheet=U0&amp;row=3016&amp;col=6&amp;number=4.2&amp;sourceID=14","4.2")</f>
        <v>4.2</v>
      </c>
      <c r="G3016" s="4" t="str">
        <f>HYPERLINK("http://141.218.60.56/~jnz1568/getInfo.php?workbook=14_06.xlsx&amp;sheet=U0&amp;row=3016&amp;col=7&amp;number=0.0127&amp;sourceID=14","0.0127")</f>
        <v>0.0127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HYPERLINK("http://141.218.60.56/~jnz1568/getInfo.php?workbook=14_06.xlsx&amp;sheet=U0&amp;row=3017&amp;col=6&amp;number=4.3&amp;sourceID=14","4.3")</f>
        <v>4.3</v>
      </c>
      <c r="G3017" s="4" t="str">
        <f>HYPERLINK("http://141.218.60.56/~jnz1568/getInfo.php?workbook=14_06.xlsx&amp;sheet=U0&amp;row=3017&amp;col=7&amp;number=0.0127&amp;sourceID=14","0.0127")</f>
        <v>0.0127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HYPERLINK("http://141.218.60.56/~jnz1568/getInfo.php?workbook=14_06.xlsx&amp;sheet=U0&amp;row=3018&amp;col=6&amp;number=4.4&amp;sourceID=14","4.4")</f>
        <v>4.4</v>
      </c>
      <c r="G3018" s="4" t="str">
        <f>HYPERLINK("http://141.218.60.56/~jnz1568/getInfo.php?workbook=14_06.xlsx&amp;sheet=U0&amp;row=3018&amp;col=7&amp;number=0.0127&amp;sourceID=14","0.0127")</f>
        <v>0.0127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HYPERLINK("http://141.218.60.56/~jnz1568/getInfo.php?workbook=14_06.xlsx&amp;sheet=U0&amp;row=3019&amp;col=6&amp;number=4.5&amp;sourceID=14","4.5")</f>
        <v>4.5</v>
      </c>
      <c r="G3019" s="4" t="str">
        <f>HYPERLINK("http://141.218.60.56/~jnz1568/getInfo.php?workbook=14_06.xlsx&amp;sheet=U0&amp;row=3019&amp;col=7&amp;number=0.0127&amp;sourceID=14","0.0127")</f>
        <v>0.0127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HYPERLINK("http://141.218.60.56/~jnz1568/getInfo.php?workbook=14_06.xlsx&amp;sheet=U0&amp;row=3020&amp;col=6&amp;number=4.6&amp;sourceID=14","4.6")</f>
        <v>4.6</v>
      </c>
      <c r="G3020" s="4" t="str">
        <f>HYPERLINK("http://141.218.60.56/~jnz1568/getInfo.php?workbook=14_06.xlsx&amp;sheet=U0&amp;row=3020&amp;col=7&amp;number=0.0126&amp;sourceID=14","0.0126")</f>
        <v>0.0126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HYPERLINK("http://141.218.60.56/~jnz1568/getInfo.php?workbook=14_06.xlsx&amp;sheet=U0&amp;row=3021&amp;col=6&amp;number=4.7&amp;sourceID=14","4.7")</f>
        <v>4.7</v>
      </c>
      <c r="G3021" s="4" t="str">
        <f>HYPERLINK("http://141.218.60.56/~jnz1568/getInfo.php?workbook=14_06.xlsx&amp;sheet=U0&amp;row=3021&amp;col=7&amp;number=0.0126&amp;sourceID=14","0.0126")</f>
        <v>0.0126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HYPERLINK("http://141.218.60.56/~jnz1568/getInfo.php?workbook=14_06.xlsx&amp;sheet=U0&amp;row=3022&amp;col=6&amp;number=4.8&amp;sourceID=14","4.8")</f>
        <v>4.8</v>
      </c>
      <c r="G3022" s="4" t="str">
        <f>HYPERLINK("http://141.218.60.56/~jnz1568/getInfo.php?workbook=14_06.xlsx&amp;sheet=U0&amp;row=3022&amp;col=7&amp;number=0.0125&amp;sourceID=14","0.0125")</f>
        <v>0.0125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HYPERLINK("http://141.218.60.56/~jnz1568/getInfo.php?workbook=14_06.xlsx&amp;sheet=U0&amp;row=3023&amp;col=6&amp;number=4.9&amp;sourceID=14","4.9")</f>
        <v>4.9</v>
      </c>
      <c r="G3023" s="4" t="str">
        <f>HYPERLINK("http://141.218.60.56/~jnz1568/getInfo.php?workbook=14_06.xlsx&amp;sheet=U0&amp;row=3023&amp;col=7&amp;number=0.0125&amp;sourceID=14","0.0125")</f>
        <v>0.0125</v>
      </c>
    </row>
    <row r="3024" spans="1:7">
      <c r="A3024" s="3">
        <v>14</v>
      </c>
      <c r="B3024" s="3">
        <v>6</v>
      </c>
      <c r="C3024" s="3">
        <v>4</v>
      </c>
      <c r="D3024" s="3">
        <v>24</v>
      </c>
      <c r="E3024" s="3">
        <v>1</v>
      </c>
      <c r="F3024" s="4" t="str">
        <f>HYPERLINK("http://141.218.60.56/~jnz1568/getInfo.php?workbook=14_06.xlsx&amp;sheet=U0&amp;row=3024&amp;col=6&amp;number=3&amp;sourceID=14","3")</f>
        <v>3</v>
      </c>
      <c r="G3024" s="4" t="str">
        <f>HYPERLINK("http://141.218.60.56/~jnz1568/getInfo.php?workbook=14_06.xlsx&amp;sheet=U0&amp;row=3024&amp;col=7&amp;number=0.00207&amp;sourceID=14","0.00207")</f>
        <v>0.00207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HYPERLINK("http://141.218.60.56/~jnz1568/getInfo.php?workbook=14_06.xlsx&amp;sheet=U0&amp;row=3025&amp;col=6&amp;number=3.1&amp;sourceID=14","3.1")</f>
        <v>3.1</v>
      </c>
      <c r="G3025" s="4" t="str">
        <f>HYPERLINK("http://141.218.60.56/~jnz1568/getInfo.php?workbook=14_06.xlsx&amp;sheet=U0&amp;row=3025&amp;col=7&amp;number=0.00207&amp;sourceID=14","0.00207")</f>
        <v>0.00207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HYPERLINK("http://141.218.60.56/~jnz1568/getInfo.php?workbook=14_06.xlsx&amp;sheet=U0&amp;row=3026&amp;col=6&amp;number=3.2&amp;sourceID=14","3.2")</f>
        <v>3.2</v>
      </c>
      <c r="G3026" s="4" t="str">
        <f>HYPERLINK("http://141.218.60.56/~jnz1568/getInfo.php?workbook=14_06.xlsx&amp;sheet=U0&amp;row=3026&amp;col=7&amp;number=0.00207&amp;sourceID=14","0.00207")</f>
        <v>0.00207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HYPERLINK("http://141.218.60.56/~jnz1568/getInfo.php?workbook=14_06.xlsx&amp;sheet=U0&amp;row=3027&amp;col=6&amp;number=3.3&amp;sourceID=14","3.3")</f>
        <v>3.3</v>
      </c>
      <c r="G3027" s="4" t="str">
        <f>HYPERLINK("http://141.218.60.56/~jnz1568/getInfo.php?workbook=14_06.xlsx&amp;sheet=U0&amp;row=3027&amp;col=7&amp;number=0.00208&amp;sourceID=14","0.00208")</f>
        <v>0.00208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HYPERLINK("http://141.218.60.56/~jnz1568/getInfo.php?workbook=14_06.xlsx&amp;sheet=U0&amp;row=3028&amp;col=6&amp;number=3.4&amp;sourceID=14","3.4")</f>
        <v>3.4</v>
      </c>
      <c r="G3028" s="4" t="str">
        <f>HYPERLINK("http://141.218.60.56/~jnz1568/getInfo.php?workbook=14_06.xlsx&amp;sheet=U0&amp;row=3028&amp;col=7&amp;number=0.00209&amp;sourceID=14","0.00209")</f>
        <v>0.00209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HYPERLINK("http://141.218.60.56/~jnz1568/getInfo.php?workbook=14_06.xlsx&amp;sheet=U0&amp;row=3029&amp;col=6&amp;number=3.5&amp;sourceID=14","3.5")</f>
        <v>3.5</v>
      </c>
      <c r="G3029" s="4" t="str">
        <f>HYPERLINK("http://141.218.60.56/~jnz1568/getInfo.php?workbook=14_06.xlsx&amp;sheet=U0&amp;row=3029&amp;col=7&amp;number=0.0021&amp;sourceID=14","0.0021")</f>
        <v>0.0021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HYPERLINK("http://141.218.60.56/~jnz1568/getInfo.php?workbook=14_06.xlsx&amp;sheet=U0&amp;row=3030&amp;col=6&amp;number=3.6&amp;sourceID=14","3.6")</f>
        <v>3.6</v>
      </c>
      <c r="G3030" s="4" t="str">
        <f>HYPERLINK("http://141.218.60.56/~jnz1568/getInfo.php?workbook=14_06.xlsx&amp;sheet=U0&amp;row=3030&amp;col=7&amp;number=0.00211&amp;sourceID=14","0.00211")</f>
        <v>0.00211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HYPERLINK("http://141.218.60.56/~jnz1568/getInfo.php?workbook=14_06.xlsx&amp;sheet=U0&amp;row=3031&amp;col=6&amp;number=3.7&amp;sourceID=14","3.7")</f>
        <v>3.7</v>
      </c>
      <c r="G3031" s="4" t="str">
        <f>HYPERLINK("http://141.218.60.56/~jnz1568/getInfo.php?workbook=14_06.xlsx&amp;sheet=U0&amp;row=3031&amp;col=7&amp;number=0.00212&amp;sourceID=14","0.00212")</f>
        <v>0.00212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HYPERLINK("http://141.218.60.56/~jnz1568/getInfo.php?workbook=14_06.xlsx&amp;sheet=U0&amp;row=3032&amp;col=6&amp;number=3.8&amp;sourceID=14","3.8")</f>
        <v>3.8</v>
      </c>
      <c r="G3032" s="4" t="str">
        <f>HYPERLINK("http://141.218.60.56/~jnz1568/getInfo.php?workbook=14_06.xlsx&amp;sheet=U0&amp;row=3032&amp;col=7&amp;number=0.00214&amp;sourceID=14","0.00214")</f>
        <v>0.00214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HYPERLINK("http://141.218.60.56/~jnz1568/getInfo.php?workbook=14_06.xlsx&amp;sheet=U0&amp;row=3033&amp;col=6&amp;number=3.9&amp;sourceID=14","3.9")</f>
        <v>3.9</v>
      </c>
      <c r="G3033" s="4" t="str">
        <f>HYPERLINK("http://141.218.60.56/~jnz1568/getInfo.php?workbook=14_06.xlsx&amp;sheet=U0&amp;row=3033&amp;col=7&amp;number=0.00216&amp;sourceID=14","0.00216")</f>
        <v>0.00216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HYPERLINK("http://141.218.60.56/~jnz1568/getInfo.php?workbook=14_06.xlsx&amp;sheet=U0&amp;row=3034&amp;col=6&amp;number=4&amp;sourceID=14","4")</f>
        <v>4</v>
      </c>
      <c r="G3034" s="4" t="str">
        <f>HYPERLINK("http://141.218.60.56/~jnz1568/getInfo.php?workbook=14_06.xlsx&amp;sheet=U0&amp;row=3034&amp;col=7&amp;number=0.00219&amp;sourceID=14","0.00219")</f>
        <v>0.00219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HYPERLINK("http://141.218.60.56/~jnz1568/getInfo.php?workbook=14_06.xlsx&amp;sheet=U0&amp;row=3035&amp;col=6&amp;number=4.1&amp;sourceID=14","4.1")</f>
        <v>4.1</v>
      </c>
      <c r="G3035" s="4" t="str">
        <f>HYPERLINK("http://141.218.60.56/~jnz1568/getInfo.php?workbook=14_06.xlsx&amp;sheet=U0&amp;row=3035&amp;col=7&amp;number=0.00222&amp;sourceID=14","0.00222")</f>
        <v>0.00222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HYPERLINK("http://141.218.60.56/~jnz1568/getInfo.php?workbook=14_06.xlsx&amp;sheet=U0&amp;row=3036&amp;col=6&amp;number=4.2&amp;sourceID=14","4.2")</f>
        <v>4.2</v>
      </c>
      <c r="G3036" s="4" t="str">
        <f>HYPERLINK("http://141.218.60.56/~jnz1568/getInfo.php?workbook=14_06.xlsx&amp;sheet=U0&amp;row=3036&amp;col=7&amp;number=0.00227&amp;sourceID=14","0.00227")</f>
        <v>0.00227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HYPERLINK("http://141.218.60.56/~jnz1568/getInfo.php?workbook=14_06.xlsx&amp;sheet=U0&amp;row=3037&amp;col=6&amp;number=4.3&amp;sourceID=14","4.3")</f>
        <v>4.3</v>
      </c>
      <c r="G3037" s="4" t="str">
        <f>HYPERLINK("http://141.218.60.56/~jnz1568/getInfo.php?workbook=14_06.xlsx&amp;sheet=U0&amp;row=3037&amp;col=7&amp;number=0.00232&amp;sourceID=14","0.00232")</f>
        <v>0.00232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HYPERLINK("http://141.218.60.56/~jnz1568/getInfo.php?workbook=14_06.xlsx&amp;sheet=U0&amp;row=3038&amp;col=6&amp;number=4.4&amp;sourceID=14","4.4")</f>
        <v>4.4</v>
      </c>
      <c r="G3038" s="4" t="str">
        <f>HYPERLINK("http://141.218.60.56/~jnz1568/getInfo.php?workbook=14_06.xlsx&amp;sheet=U0&amp;row=3038&amp;col=7&amp;number=0.00239&amp;sourceID=14","0.00239")</f>
        <v>0.00239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HYPERLINK("http://141.218.60.56/~jnz1568/getInfo.php?workbook=14_06.xlsx&amp;sheet=U0&amp;row=3039&amp;col=6&amp;number=4.5&amp;sourceID=14","4.5")</f>
        <v>4.5</v>
      </c>
      <c r="G3039" s="4" t="str">
        <f>HYPERLINK("http://141.218.60.56/~jnz1568/getInfo.php?workbook=14_06.xlsx&amp;sheet=U0&amp;row=3039&amp;col=7&amp;number=0.00248&amp;sourceID=14","0.00248")</f>
        <v>0.00248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HYPERLINK("http://141.218.60.56/~jnz1568/getInfo.php?workbook=14_06.xlsx&amp;sheet=U0&amp;row=3040&amp;col=6&amp;number=4.6&amp;sourceID=14","4.6")</f>
        <v>4.6</v>
      </c>
      <c r="G3040" s="4" t="str">
        <f>HYPERLINK("http://141.218.60.56/~jnz1568/getInfo.php?workbook=14_06.xlsx&amp;sheet=U0&amp;row=3040&amp;col=7&amp;number=0.00259&amp;sourceID=14","0.00259")</f>
        <v>0.00259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HYPERLINK("http://141.218.60.56/~jnz1568/getInfo.php?workbook=14_06.xlsx&amp;sheet=U0&amp;row=3041&amp;col=6&amp;number=4.7&amp;sourceID=14","4.7")</f>
        <v>4.7</v>
      </c>
      <c r="G3041" s="4" t="str">
        <f>HYPERLINK("http://141.218.60.56/~jnz1568/getInfo.php?workbook=14_06.xlsx&amp;sheet=U0&amp;row=3041&amp;col=7&amp;number=0.00273&amp;sourceID=14","0.00273")</f>
        <v>0.00273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HYPERLINK("http://141.218.60.56/~jnz1568/getInfo.php?workbook=14_06.xlsx&amp;sheet=U0&amp;row=3042&amp;col=6&amp;number=4.8&amp;sourceID=14","4.8")</f>
        <v>4.8</v>
      </c>
      <c r="G3042" s="4" t="str">
        <f>HYPERLINK("http://141.218.60.56/~jnz1568/getInfo.php?workbook=14_06.xlsx&amp;sheet=U0&amp;row=3042&amp;col=7&amp;number=0.0029&amp;sourceID=14","0.0029")</f>
        <v>0.0029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HYPERLINK("http://141.218.60.56/~jnz1568/getInfo.php?workbook=14_06.xlsx&amp;sheet=U0&amp;row=3043&amp;col=6&amp;number=4.9&amp;sourceID=14","4.9")</f>
        <v>4.9</v>
      </c>
      <c r="G3043" s="4" t="str">
        <f>HYPERLINK("http://141.218.60.56/~jnz1568/getInfo.php?workbook=14_06.xlsx&amp;sheet=U0&amp;row=3043&amp;col=7&amp;number=0.00311&amp;sourceID=14","0.00311")</f>
        <v>0.00311</v>
      </c>
    </row>
    <row r="3044" spans="1:7">
      <c r="A3044" s="3">
        <v>14</v>
      </c>
      <c r="B3044" s="3">
        <v>6</v>
      </c>
      <c r="C3044" s="3">
        <v>4</v>
      </c>
      <c r="D3044" s="3">
        <v>25</v>
      </c>
      <c r="E3044" s="3">
        <v>1</v>
      </c>
      <c r="F3044" s="4" t="str">
        <f>HYPERLINK("http://141.218.60.56/~jnz1568/getInfo.php?workbook=14_06.xlsx&amp;sheet=U0&amp;row=3044&amp;col=6&amp;number=3&amp;sourceID=14","3")</f>
        <v>3</v>
      </c>
      <c r="G3044" s="4" t="str">
        <f>HYPERLINK("http://141.218.60.56/~jnz1568/getInfo.php?workbook=14_06.xlsx&amp;sheet=U0&amp;row=3044&amp;col=7&amp;number=0.0131&amp;sourceID=14","0.0131")</f>
        <v>0.0131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HYPERLINK("http://141.218.60.56/~jnz1568/getInfo.php?workbook=14_06.xlsx&amp;sheet=U0&amp;row=3045&amp;col=6&amp;number=3.1&amp;sourceID=14","3.1")</f>
        <v>3.1</v>
      </c>
      <c r="G3045" s="4" t="str">
        <f>HYPERLINK("http://141.218.60.56/~jnz1568/getInfo.php?workbook=14_06.xlsx&amp;sheet=U0&amp;row=3045&amp;col=7&amp;number=0.0131&amp;sourceID=14","0.0131")</f>
        <v>0.0131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HYPERLINK("http://141.218.60.56/~jnz1568/getInfo.php?workbook=14_06.xlsx&amp;sheet=U0&amp;row=3046&amp;col=6&amp;number=3.2&amp;sourceID=14","3.2")</f>
        <v>3.2</v>
      </c>
      <c r="G3046" s="4" t="str">
        <f>HYPERLINK("http://141.218.60.56/~jnz1568/getInfo.php?workbook=14_06.xlsx&amp;sheet=U0&amp;row=3046&amp;col=7&amp;number=0.0131&amp;sourceID=14","0.0131")</f>
        <v>0.0131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HYPERLINK("http://141.218.60.56/~jnz1568/getInfo.php?workbook=14_06.xlsx&amp;sheet=U0&amp;row=3047&amp;col=6&amp;number=3.3&amp;sourceID=14","3.3")</f>
        <v>3.3</v>
      </c>
      <c r="G3047" s="4" t="str">
        <f>HYPERLINK("http://141.218.60.56/~jnz1568/getInfo.php?workbook=14_06.xlsx&amp;sheet=U0&amp;row=3047&amp;col=7&amp;number=0.0131&amp;sourceID=14","0.0131")</f>
        <v>0.0131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HYPERLINK("http://141.218.60.56/~jnz1568/getInfo.php?workbook=14_06.xlsx&amp;sheet=U0&amp;row=3048&amp;col=6&amp;number=3.4&amp;sourceID=14","3.4")</f>
        <v>3.4</v>
      </c>
      <c r="G3048" s="4" t="str">
        <f>HYPERLINK("http://141.218.60.56/~jnz1568/getInfo.php?workbook=14_06.xlsx&amp;sheet=U0&amp;row=3048&amp;col=7&amp;number=0.0131&amp;sourceID=14","0.0131")</f>
        <v>0.0131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HYPERLINK("http://141.218.60.56/~jnz1568/getInfo.php?workbook=14_06.xlsx&amp;sheet=U0&amp;row=3049&amp;col=6&amp;number=3.5&amp;sourceID=14","3.5")</f>
        <v>3.5</v>
      </c>
      <c r="G3049" s="4" t="str">
        <f>HYPERLINK("http://141.218.60.56/~jnz1568/getInfo.php?workbook=14_06.xlsx&amp;sheet=U0&amp;row=3049&amp;col=7&amp;number=0.0131&amp;sourceID=14","0.0131")</f>
        <v>0.0131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HYPERLINK("http://141.218.60.56/~jnz1568/getInfo.php?workbook=14_06.xlsx&amp;sheet=U0&amp;row=3050&amp;col=6&amp;number=3.6&amp;sourceID=14","3.6")</f>
        <v>3.6</v>
      </c>
      <c r="G3050" s="4" t="str">
        <f>HYPERLINK("http://141.218.60.56/~jnz1568/getInfo.php?workbook=14_06.xlsx&amp;sheet=U0&amp;row=3050&amp;col=7&amp;number=0.0131&amp;sourceID=14","0.0131")</f>
        <v>0.0131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HYPERLINK("http://141.218.60.56/~jnz1568/getInfo.php?workbook=14_06.xlsx&amp;sheet=U0&amp;row=3051&amp;col=6&amp;number=3.7&amp;sourceID=14","3.7")</f>
        <v>3.7</v>
      </c>
      <c r="G3051" s="4" t="str">
        <f>HYPERLINK("http://141.218.60.56/~jnz1568/getInfo.php?workbook=14_06.xlsx&amp;sheet=U0&amp;row=3051&amp;col=7&amp;number=0.0131&amp;sourceID=14","0.0131")</f>
        <v>0.0131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HYPERLINK("http://141.218.60.56/~jnz1568/getInfo.php?workbook=14_06.xlsx&amp;sheet=U0&amp;row=3052&amp;col=6&amp;number=3.8&amp;sourceID=14","3.8")</f>
        <v>3.8</v>
      </c>
      <c r="G3052" s="4" t="str">
        <f>HYPERLINK("http://141.218.60.56/~jnz1568/getInfo.php?workbook=14_06.xlsx&amp;sheet=U0&amp;row=3052&amp;col=7&amp;number=0.0131&amp;sourceID=14","0.0131")</f>
        <v>0.0131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HYPERLINK("http://141.218.60.56/~jnz1568/getInfo.php?workbook=14_06.xlsx&amp;sheet=U0&amp;row=3053&amp;col=6&amp;number=3.9&amp;sourceID=14","3.9")</f>
        <v>3.9</v>
      </c>
      <c r="G3053" s="4" t="str">
        <f>HYPERLINK("http://141.218.60.56/~jnz1568/getInfo.php?workbook=14_06.xlsx&amp;sheet=U0&amp;row=3053&amp;col=7&amp;number=0.0131&amp;sourceID=14","0.0131")</f>
        <v>0.0131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HYPERLINK("http://141.218.60.56/~jnz1568/getInfo.php?workbook=14_06.xlsx&amp;sheet=U0&amp;row=3054&amp;col=6&amp;number=4&amp;sourceID=14","4")</f>
        <v>4</v>
      </c>
      <c r="G3054" s="4" t="str">
        <f>HYPERLINK("http://141.218.60.56/~jnz1568/getInfo.php?workbook=14_06.xlsx&amp;sheet=U0&amp;row=3054&amp;col=7&amp;number=0.0131&amp;sourceID=14","0.0131")</f>
        <v>0.0131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HYPERLINK("http://141.218.60.56/~jnz1568/getInfo.php?workbook=14_06.xlsx&amp;sheet=U0&amp;row=3055&amp;col=6&amp;number=4.1&amp;sourceID=14","4.1")</f>
        <v>4.1</v>
      </c>
      <c r="G3055" s="4" t="str">
        <f>HYPERLINK("http://141.218.60.56/~jnz1568/getInfo.php?workbook=14_06.xlsx&amp;sheet=U0&amp;row=3055&amp;col=7&amp;number=0.0131&amp;sourceID=14","0.0131")</f>
        <v>0.0131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HYPERLINK("http://141.218.60.56/~jnz1568/getInfo.php?workbook=14_06.xlsx&amp;sheet=U0&amp;row=3056&amp;col=6&amp;number=4.2&amp;sourceID=14","4.2")</f>
        <v>4.2</v>
      </c>
      <c r="G3056" s="4" t="str">
        <f>HYPERLINK("http://141.218.60.56/~jnz1568/getInfo.php?workbook=14_06.xlsx&amp;sheet=U0&amp;row=3056&amp;col=7&amp;number=0.0131&amp;sourceID=14","0.0131")</f>
        <v>0.0131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HYPERLINK("http://141.218.60.56/~jnz1568/getInfo.php?workbook=14_06.xlsx&amp;sheet=U0&amp;row=3057&amp;col=6&amp;number=4.3&amp;sourceID=14","4.3")</f>
        <v>4.3</v>
      </c>
      <c r="G3057" s="4" t="str">
        <f>HYPERLINK("http://141.218.60.56/~jnz1568/getInfo.php?workbook=14_06.xlsx&amp;sheet=U0&amp;row=3057&amp;col=7&amp;number=0.0131&amp;sourceID=14","0.0131")</f>
        <v>0.0131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HYPERLINK("http://141.218.60.56/~jnz1568/getInfo.php?workbook=14_06.xlsx&amp;sheet=U0&amp;row=3058&amp;col=6&amp;number=4.4&amp;sourceID=14","4.4")</f>
        <v>4.4</v>
      </c>
      <c r="G3058" s="4" t="str">
        <f>HYPERLINK("http://141.218.60.56/~jnz1568/getInfo.php?workbook=14_06.xlsx&amp;sheet=U0&amp;row=3058&amp;col=7&amp;number=0.0131&amp;sourceID=14","0.0131")</f>
        <v>0.0131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HYPERLINK("http://141.218.60.56/~jnz1568/getInfo.php?workbook=14_06.xlsx&amp;sheet=U0&amp;row=3059&amp;col=6&amp;number=4.5&amp;sourceID=14","4.5")</f>
        <v>4.5</v>
      </c>
      <c r="G3059" s="4" t="str">
        <f>HYPERLINK("http://141.218.60.56/~jnz1568/getInfo.php?workbook=14_06.xlsx&amp;sheet=U0&amp;row=3059&amp;col=7&amp;number=0.0131&amp;sourceID=14","0.0131")</f>
        <v>0.0131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HYPERLINK("http://141.218.60.56/~jnz1568/getInfo.php?workbook=14_06.xlsx&amp;sheet=U0&amp;row=3060&amp;col=6&amp;number=4.6&amp;sourceID=14","4.6")</f>
        <v>4.6</v>
      </c>
      <c r="G3060" s="4" t="str">
        <f>HYPERLINK("http://141.218.60.56/~jnz1568/getInfo.php?workbook=14_06.xlsx&amp;sheet=U0&amp;row=3060&amp;col=7&amp;number=0.0131&amp;sourceID=14","0.0131")</f>
        <v>0.0131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HYPERLINK("http://141.218.60.56/~jnz1568/getInfo.php?workbook=14_06.xlsx&amp;sheet=U0&amp;row=3061&amp;col=6&amp;number=4.7&amp;sourceID=14","4.7")</f>
        <v>4.7</v>
      </c>
      <c r="G3061" s="4" t="str">
        <f>HYPERLINK("http://141.218.60.56/~jnz1568/getInfo.php?workbook=14_06.xlsx&amp;sheet=U0&amp;row=3061&amp;col=7&amp;number=0.0132&amp;sourceID=14","0.0132")</f>
        <v>0.0132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HYPERLINK("http://141.218.60.56/~jnz1568/getInfo.php?workbook=14_06.xlsx&amp;sheet=U0&amp;row=3062&amp;col=6&amp;number=4.8&amp;sourceID=14","4.8")</f>
        <v>4.8</v>
      </c>
      <c r="G3062" s="4" t="str">
        <f>HYPERLINK("http://141.218.60.56/~jnz1568/getInfo.php?workbook=14_06.xlsx&amp;sheet=U0&amp;row=3062&amp;col=7&amp;number=0.0132&amp;sourceID=14","0.0132")</f>
        <v>0.0132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HYPERLINK("http://141.218.60.56/~jnz1568/getInfo.php?workbook=14_06.xlsx&amp;sheet=U0&amp;row=3063&amp;col=6&amp;number=4.9&amp;sourceID=14","4.9")</f>
        <v>4.9</v>
      </c>
      <c r="G3063" s="4" t="str">
        <f>HYPERLINK("http://141.218.60.56/~jnz1568/getInfo.php?workbook=14_06.xlsx&amp;sheet=U0&amp;row=3063&amp;col=7&amp;number=0.0132&amp;sourceID=14","0.0132")</f>
        <v>0.0132</v>
      </c>
    </row>
    <row r="3064" spans="1:7">
      <c r="A3064" s="3">
        <v>14</v>
      </c>
      <c r="B3064" s="3">
        <v>6</v>
      </c>
      <c r="C3064" s="3">
        <v>4</v>
      </c>
      <c r="D3064" s="3">
        <v>26</v>
      </c>
      <c r="E3064" s="3">
        <v>1</v>
      </c>
      <c r="F3064" s="4" t="str">
        <f>HYPERLINK("http://141.218.60.56/~jnz1568/getInfo.php?workbook=14_06.xlsx&amp;sheet=U0&amp;row=3064&amp;col=6&amp;number=3&amp;sourceID=14","3")</f>
        <v>3</v>
      </c>
      <c r="G3064" s="4" t="str">
        <f>HYPERLINK("http://141.218.60.56/~jnz1568/getInfo.php?workbook=14_06.xlsx&amp;sheet=U0&amp;row=3064&amp;col=7&amp;number=0.0154&amp;sourceID=14","0.0154")</f>
        <v>0.0154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HYPERLINK("http://141.218.60.56/~jnz1568/getInfo.php?workbook=14_06.xlsx&amp;sheet=U0&amp;row=3065&amp;col=6&amp;number=3.1&amp;sourceID=14","3.1")</f>
        <v>3.1</v>
      </c>
      <c r="G3065" s="4" t="str">
        <f>HYPERLINK("http://141.218.60.56/~jnz1568/getInfo.php?workbook=14_06.xlsx&amp;sheet=U0&amp;row=3065&amp;col=7&amp;number=0.0154&amp;sourceID=14","0.0154")</f>
        <v>0.0154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HYPERLINK("http://141.218.60.56/~jnz1568/getInfo.php?workbook=14_06.xlsx&amp;sheet=U0&amp;row=3066&amp;col=6&amp;number=3.2&amp;sourceID=14","3.2")</f>
        <v>3.2</v>
      </c>
      <c r="G3066" s="4" t="str">
        <f>HYPERLINK("http://141.218.60.56/~jnz1568/getInfo.php?workbook=14_06.xlsx&amp;sheet=U0&amp;row=3066&amp;col=7&amp;number=0.0154&amp;sourceID=14","0.0154")</f>
        <v>0.0154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HYPERLINK("http://141.218.60.56/~jnz1568/getInfo.php?workbook=14_06.xlsx&amp;sheet=U0&amp;row=3067&amp;col=6&amp;number=3.3&amp;sourceID=14","3.3")</f>
        <v>3.3</v>
      </c>
      <c r="G3067" s="4" t="str">
        <f>HYPERLINK("http://141.218.60.56/~jnz1568/getInfo.php?workbook=14_06.xlsx&amp;sheet=U0&amp;row=3067&amp;col=7&amp;number=0.0154&amp;sourceID=14","0.0154")</f>
        <v>0.0154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HYPERLINK("http://141.218.60.56/~jnz1568/getInfo.php?workbook=14_06.xlsx&amp;sheet=U0&amp;row=3068&amp;col=6&amp;number=3.4&amp;sourceID=14","3.4")</f>
        <v>3.4</v>
      </c>
      <c r="G3068" s="4" t="str">
        <f>HYPERLINK("http://141.218.60.56/~jnz1568/getInfo.php?workbook=14_06.xlsx&amp;sheet=U0&amp;row=3068&amp;col=7&amp;number=0.0154&amp;sourceID=14","0.0154")</f>
        <v>0.0154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HYPERLINK("http://141.218.60.56/~jnz1568/getInfo.php?workbook=14_06.xlsx&amp;sheet=U0&amp;row=3069&amp;col=6&amp;number=3.5&amp;sourceID=14","3.5")</f>
        <v>3.5</v>
      </c>
      <c r="G3069" s="4" t="str">
        <f>HYPERLINK("http://141.218.60.56/~jnz1568/getInfo.php?workbook=14_06.xlsx&amp;sheet=U0&amp;row=3069&amp;col=7&amp;number=0.0154&amp;sourceID=14","0.0154")</f>
        <v>0.0154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HYPERLINK("http://141.218.60.56/~jnz1568/getInfo.php?workbook=14_06.xlsx&amp;sheet=U0&amp;row=3070&amp;col=6&amp;number=3.6&amp;sourceID=14","3.6")</f>
        <v>3.6</v>
      </c>
      <c r="G3070" s="4" t="str">
        <f>HYPERLINK("http://141.218.60.56/~jnz1568/getInfo.php?workbook=14_06.xlsx&amp;sheet=U0&amp;row=3070&amp;col=7&amp;number=0.0154&amp;sourceID=14","0.0154")</f>
        <v>0.0154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HYPERLINK("http://141.218.60.56/~jnz1568/getInfo.php?workbook=14_06.xlsx&amp;sheet=U0&amp;row=3071&amp;col=6&amp;number=3.7&amp;sourceID=14","3.7")</f>
        <v>3.7</v>
      </c>
      <c r="G3071" s="4" t="str">
        <f>HYPERLINK("http://141.218.60.56/~jnz1568/getInfo.php?workbook=14_06.xlsx&amp;sheet=U0&amp;row=3071&amp;col=7&amp;number=0.0154&amp;sourceID=14","0.0154")</f>
        <v>0.0154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HYPERLINK("http://141.218.60.56/~jnz1568/getInfo.php?workbook=14_06.xlsx&amp;sheet=U0&amp;row=3072&amp;col=6&amp;number=3.8&amp;sourceID=14","3.8")</f>
        <v>3.8</v>
      </c>
      <c r="G3072" s="4" t="str">
        <f>HYPERLINK("http://141.218.60.56/~jnz1568/getInfo.php?workbook=14_06.xlsx&amp;sheet=U0&amp;row=3072&amp;col=7&amp;number=0.0154&amp;sourceID=14","0.0154")</f>
        <v>0.0154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HYPERLINK("http://141.218.60.56/~jnz1568/getInfo.php?workbook=14_06.xlsx&amp;sheet=U0&amp;row=3073&amp;col=6&amp;number=3.9&amp;sourceID=14","3.9")</f>
        <v>3.9</v>
      </c>
      <c r="G3073" s="4" t="str">
        <f>HYPERLINK("http://141.218.60.56/~jnz1568/getInfo.php?workbook=14_06.xlsx&amp;sheet=U0&amp;row=3073&amp;col=7&amp;number=0.0154&amp;sourceID=14","0.0154")</f>
        <v>0.0154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HYPERLINK("http://141.218.60.56/~jnz1568/getInfo.php?workbook=14_06.xlsx&amp;sheet=U0&amp;row=3074&amp;col=6&amp;number=4&amp;sourceID=14","4")</f>
        <v>4</v>
      </c>
      <c r="G3074" s="4" t="str">
        <f>HYPERLINK("http://141.218.60.56/~jnz1568/getInfo.php?workbook=14_06.xlsx&amp;sheet=U0&amp;row=3074&amp;col=7&amp;number=0.0154&amp;sourceID=14","0.0154")</f>
        <v>0.0154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HYPERLINK("http://141.218.60.56/~jnz1568/getInfo.php?workbook=14_06.xlsx&amp;sheet=U0&amp;row=3075&amp;col=6&amp;number=4.1&amp;sourceID=14","4.1")</f>
        <v>4.1</v>
      </c>
      <c r="G3075" s="4" t="str">
        <f>HYPERLINK("http://141.218.60.56/~jnz1568/getInfo.php?workbook=14_06.xlsx&amp;sheet=U0&amp;row=3075&amp;col=7&amp;number=0.0153&amp;sourceID=14","0.0153")</f>
        <v>0.0153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HYPERLINK("http://141.218.60.56/~jnz1568/getInfo.php?workbook=14_06.xlsx&amp;sheet=U0&amp;row=3076&amp;col=6&amp;number=4.2&amp;sourceID=14","4.2")</f>
        <v>4.2</v>
      </c>
      <c r="G3076" s="4" t="str">
        <f>HYPERLINK("http://141.218.60.56/~jnz1568/getInfo.php?workbook=14_06.xlsx&amp;sheet=U0&amp;row=3076&amp;col=7&amp;number=0.0153&amp;sourceID=14","0.0153")</f>
        <v>0.0153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HYPERLINK("http://141.218.60.56/~jnz1568/getInfo.php?workbook=14_06.xlsx&amp;sheet=U0&amp;row=3077&amp;col=6&amp;number=4.3&amp;sourceID=14","4.3")</f>
        <v>4.3</v>
      </c>
      <c r="G3077" s="4" t="str">
        <f>HYPERLINK("http://141.218.60.56/~jnz1568/getInfo.php?workbook=14_06.xlsx&amp;sheet=U0&amp;row=3077&amp;col=7&amp;number=0.0153&amp;sourceID=14","0.0153")</f>
        <v>0.0153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HYPERLINK("http://141.218.60.56/~jnz1568/getInfo.php?workbook=14_06.xlsx&amp;sheet=U0&amp;row=3078&amp;col=6&amp;number=4.4&amp;sourceID=14","4.4")</f>
        <v>4.4</v>
      </c>
      <c r="G3078" s="4" t="str">
        <f>HYPERLINK("http://141.218.60.56/~jnz1568/getInfo.php?workbook=14_06.xlsx&amp;sheet=U0&amp;row=3078&amp;col=7&amp;number=0.0153&amp;sourceID=14","0.0153")</f>
        <v>0.0153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HYPERLINK("http://141.218.60.56/~jnz1568/getInfo.php?workbook=14_06.xlsx&amp;sheet=U0&amp;row=3079&amp;col=6&amp;number=4.5&amp;sourceID=14","4.5")</f>
        <v>4.5</v>
      </c>
      <c r="G3079" s="4" t="str">
        <f>HYPERLINK("http://141.218.60.56/~jnz1568/getInfo.php?workbook=14_06.xlsx&amp;sheet=U0&amp;row=3079&amp;col=7&amp;number=0.0153&amp;sourceID=14","0.0153")</f>
        <v>0.0153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HYPERLINK("http://141.218.60.56/~jnz1568/getInfo.php?workbook=14_06.xlsx&amp;sheet=U0&amp;row=3080&amp;col=6&amp;number=4.6&amp;sourceID=14","4.6")</f>
        <v>4.6</v>
      </c>
      <c r="G3080" s="4" t="str">
        <f>HYPERLINK("http://141.218.60.56/~jnz1568/getInfo.php?workbook=14_06.xlsx&amp;sheet=U0&amp;row=3080&amp;col=7&amp;number=0.0152&amp;sourceID=14","0.0152")</f>
        <v>0.0152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HYPERLINK("http://141.218.60.56/~jnz1568/getInfo.php?workbook=14_06.xlsx&amp;sheet=U0&amp;row=3081&amp;col=6&amp;number=4.7&amp;sourceID=14","4.7")</f>
        <v>4.7</v>
      </c>
      <c r="G3081" s="4" t="str">
        <f>HYPERLINK("http://141.218.60.56/~jnz1568/getInfo.php?workbook=14_06.xlsx&amp;sheet=U0&amp;row=3081&amp;col=7&amp;number=0.0152&amp;sourceID=14","0.0152")</f>
        <v>0.0152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HYPERLINK("http://141.218.60.56/~jnz1568/getInfo.php?workbook=14_06.xlsx&amp;sheet=U0&amp;row=3082&amp;col=6&amp;number=4.8&amp;sourceID=14","4.8")</f>
        <v>4.8</v>
      </c>
      <c r="G3082" s="4" t="str">
        <f>HYPERLINK("http://141.218.60.56/~jnz1568/getInfo.php?workbook=14_06.xlsx&amp;sheet=U0&amp;row=3082&amp;col=7&amp;number=0.0152&amp;sourceID=14","0.0152")</f>
        <v>0.0152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HYPERLINK("http://141.218.60.56/~jnz1568/getInfo.php?workbook=14_06.xlsx&amp;sheet=U0&amp;row=3083&amp;col=6&amp;number=4.9&amp;sourceID=14","4.9")</f>
        <v>4.9</v>
      </c>
      <c r="G3083" s="4" t="str">
        <f>HYPERLINK("http://141.218.60.56/~jnz1568/getInfo.php?workbook=14_06.xlsx&amp;sheet=U0&amp;row=3083&amp;col=7&amp;number=0.0151&amp;sourceID=14","0.0151")</f>
        <v>0.0151</v>
      </c>
    </row>
    <row r="3084" spans="1:7">
      <c r="A3084" s="3">
        <v>14</v>
      </c>
      <c r="B3084" s="3">
        <v>6</v>
      </c>
      <c r="C3084" s="3">
        <v>4</v>
      </c>
      <c r="D3084" s="3">
        <v>27</v>
      </c>
      <c r="E3084" s="3">
        <v>1</v>
      </c>
      <c r="F3084" s="4" t="str">
        <f>HYPERLINK("http://141.218.60.56/~jnz1568/getInfo.php?workbook=14_06.xlsx&amp;sheet=U0&amp;row=3084&amp;col=6&amp;number=3&amp;sourceID=14","3")</f>
        <v>3</v>
      </c>
      <c r="G3084" s="4" t="str">
        <f>HYPERLINK("http://141.218.60.56/~jnz1568/getInfo.php?workbook=14_06.xlsx&amp;sheet=U0&amp;row=3084&amp;col=7&amp;number=0.0271&amp;sourceID=14","0.0271")</f>
        <v>0.0271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HYPERLINK("http://141.218.60.56/~jnz1568/getInfo.php?workbook=14_06.xlsx&amp;sheet=U0&amp;row=3085&amp;col=6&amp;number=3.1&amp;sourceID=14","3.1")</f>
        <v>3.1</v>
      </c>
      <c r="G3085" s="4" t="str">
        <f>HYPERLINK("http://141.218.60.56/~jnz1568/getInfo.php?workbook=14_06.xlsx&amp;sheet=U0&amp;row=3085&amp;col=7&amp;number=0.0271&amp;sourceID=14","0.0271")</f>
        <v>0.0271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HYPERLINK("http://141.218.60.56/~jnz1568/getInfo.php?workbook=14_06.xlsx&amp;sheet=U0&amp;row=3086&amp;col=6&amp;number=3.2&amp;sourceID=14","3.2")</f>
        <v>3.2</v>
      </c>
      <c r="G3086" s="4" t="str">
        <f>HYPERLINK("http://141.218.60.56/~jnz1568/getInfo.php?workbook=14_06.xlsx&amp;sheet=U0&amp;row=3086&amp;col=7&amp;number=0.0271&amp;sourceID=14","0.0271")</f>
        <v>0.0271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HYPERLINK("http://141.218.60.56/~jnz1568/getInfo.php?workbook=14_06.xlsx&amp;sheet=U0&amp;row=3087&amp;col=6&amp;number=3.3&amp;sourceID=14","3.3")</f>
        <v>3.3</v>
      </c>
      <c r="G3087" s="4" t="str">
        <f>HYPERLINK("http://141.218.60.56/~jnz1568/getInfo.php?workbook=14_06.xlsx&amp;sheet=U0&amp;row=3087&amp;col=7&amp;number=0.0271&amp;sourceID=14","0.0271")</f>
        <v>0.0271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HYPERLINK("http://141.218.60.56/~jnz1568/getInfo.php?workbook=14_06.xlsx&amp;sheet=U0&amp;row=3088&amp;col=6&amp;number=3.4&amp;sourceID=14","3.4")</f>
        <v>3.4</v>
      </c>
      <c r="G3088" s="4" t="str">
        <f>HYPERLINK("http://141.218.60.56/~jnz1568/getInfo.php?workbook=14_06.xlsx&amp;sheet=U0&amp;row=3088&amp;col=7&amp;number=0.0271&amp;sourceID=14","0.0271")</f>
        <v>0.0271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HYPERLINK("http://141.218.60.56/~jnz1568/getInfo.php?workbook=14_06.xlsx&amp;sheet=U0&amp;row=3089&amp;col=6&amp;number=3.5&amp;sourceID=14","3.5")</f>
        <v>3.5</v>
      </c>
      <c r="G3089" s="4" t="str">
        <f>HYPERLINK("http://141.218.60.56/~jnz1568/getInfo.php?workbook=14_06.xlsx&amp;sheet=U0&amp;row=3089&amp;col=7&amp;number=0.0271&amp;sourceID=14","0.0271")</f>
        <v>0.0271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HYPERLINK("http://141.218.60.56/~jnz1568/getInfo.php?workbook=14_06.xlsx&amp;sheet=U0&amp;row=3090&amp;col=6&amp;number=3.6&amp;sourceID=14","3.6")</f>
        <v>3.6</v>
      </c>
      <c r="G3090" s="4" t="str">
        <f>HYPERLINK("http://141.218.60.56/~jnz1568/getInfo.php?workbook=14_06.xlsx&amp;sheet=U0&amp;row=3090&amp;col=7&amp;number=0.0271&amp;sourceID=14","0.0271")</f>
        <v>0.0271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HYPERLINK("http://141.218.60.56/~jnz1568/getInfo.php?workbook=14_06.xlsx&amp;sheet=U0&amp;row=3091&amp;col=6&amp;number=3.7&amp;sourceID=14","3.7")</f>
        <v>3.7</v>
      </c>
      <c r="G3091" s="4" t="str">
        <f>HYPERLINK("http://141.218.60.56/~jnz1568/getInfo.php?workbook=14_06.xlsx&amp;sheet=U0&amp;row=3091&amp;col=7&amp;number=0.0271&amp;sourceID=14","0.0271")</f>
        <v>0.0271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HYPERLINK("http://141.218.60.56/~jnz1568/getInfo.php?workbook=14_06.xlsx&amp;sheet=U0&amp;row=3092&amp;col=6&amp;number=3.8&amp;sourceID=14","3.8")</f>
        <v>3.8</v>
      </c>
      <c r="G3092" s="4" t="str">
        <f>HYPERLINK("http://141.218.60.56/~jnz1568/getInfo.php?workbook=14_06.xlsx&amp;sheet=U0&amp;row=3092&amp;col=7&amp;number=0.0271&amp;sourceID=14","0.0271")</f>
        <v>0.0271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HYPERLINK("http://141.218.60.56/~jnz1568/getInfo.php?workbook=14_06.xlsx&amp;sheet=U0&amp;row=3093&amp;col=6&amp;number=3.9&amp;sourceID=14","3.9")</f>
        <v>3.9</v>
      </c>
      <c r="G3093" s="4" t="str">
        <f>HYPERLINK("http://141.218.60.56/~jnz1568/getInfo.php?workbook=14_06.xlsx&amp;sheet=U0&amp;row=3093&amp;col=7&amp;number=0.0271&amp;sourceID=14","0.0271")</f>
        <v>0.0271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HYPERLINK("http://141.218.60.56/~jnz1568/getInfo.php?workbook=14_06.xlsx&amp;sheet=U0&amp;row=3094&amp;col=6&amp;number=4&amp;sourceID=14","4")</f>
        <v>4</v>
      </c>
      <c r="G3094" s="4" t="str">
        <f>HYPERLINK("http://141.218.60.56/~jnz1568/getInfo.php?workbook=14_06.xlsx&amp;sheet=U0&amp;row=3094&amp;col=7&amp;number=0.0271&amp;sourceID=14","0.0271")</f>
        <v>0.0271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HYPERLINK("http://141.218.60.56/~jnz1568/getInfo.php?workbook=14_06.xlsx&amp;sheet=U0&amp;row=3095&amp;col=6&amp;number=4.1&amp;sourceID=14","4.1")</f>
        <v>4.1</v>
      </c>
      <c r="G3095" s="4" t="str">
        <f>HYPERLINK("http://141.218.60.56/~jnz1568/getInfo.php?workbook=14_06.xlsx&amp;sheet=U0&amp;row=3095&amp;col=7&amp;number=0.027&amp;sourceID=14","0.027")</f>
        <v>0.027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HYPERLINK("http://141.218.60.56/~jnz1568/getInfo.php?workbook=14_06.xlsx&amp;sheet=U0&amp;row=3096&amp;col=6&amp;number=4.2&amp;sourceID=14","4.2")</f>
        <v>4.2</v>
      </c>
      <c r="G3096" s="4" t="str">
        <f>HYPERLINK("http://141.218.60.56/~jnz1568/getInfo.php?workbook=14_06.xlsx&amp;sheet=U0&amp;row=3096&amp;col=7&amp;number=0.027&amp;sourceID=14","0.027")</f>
        <v>0.027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HYPERLINK("http://141.218.60.56/~jnz1568/getInfo.php?workbook=14_06.xlsx&amp;sheet=U0&amp;row=3097&amp;col=6&amp;number=4.3&amp;sourceID=14","4.3")</f>
        <v>4.3</v>
      </c>
      <c r="G3097" s="4" t="str">
        <f>HYPERLINK("http://141.218.60.56/~jnz1568/getInfo.php?workbook=14_06.xlsx&amp;sheet=U0&amp;row=3097&amp;col=7&amp;number=0.027&amp;sourceID=14","0.027")</f>
        <v>0.027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HYPERLINK("http://141.218.60.56/~jnz1568/getInfo.php?workbook=14_06.xlsx&amp;sheet=U0&amp;row=3098&amp;col=6&amp;number=4.4&amp;sourceID=14","4.4")</f>
        <v>4.4</v>
      </c>
      <c r="G3098" s="4" t="str">
        <f>HYPERLINK("http://141.218.60.56/~jnz1568/getInfo.php?workbook=14_06.xlsx&amp;sheet=U0&amp;row=3098&amp;col=7&amp;number=0.0269&amp;sourceID=14","0.0269")</f>
        <v>0.0269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HYPERLINK("http://141.218.60.56/~jnz1568/getInfo.php?workbook=14_06.xlsx&amp;sheet=U0&amp;row=3099&amp;col=6&amp;number=4.5&amp;sourceID=14","4.5")</f>
        <v>4.5</v>
      </c>
      <c r="G3099" s="4" t="str">
        <f>HYPERLINK("http://141.218.60.56/~jnz1568/getInfo.php?workbook=14_06.xlsx&amp;sheet=U0&amp;row=3099&amp;col=7&amp;number=0.0268&amp;sourceID=14","0.0268")</f>
        <v>0.0268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HYPERLINK("http://141.218.60.56/~jnz1568/getInfo.php?workbook=14_06.xlsx&amp;sheet=U0&amp;row=3100&amp;col=6&amp;number=4.6&amp;sourceID=14","4.6")</f>
        <v>4.6</v>
      </c>
      <c r="G3100" s="4" t="str">
        <f>HYPERLINK("http://141.218.60.56/~jnz1568/getInfo.php?workbook=14_06.xlsx&amp;sheet=U0&amp;row=3100&amp;col=7&amp;number=0.0268&amp;sourceID=14","0.0268")</f>
        <v>0.0268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HYPERLINK("http://141.218.60.56/~jnz1568/getInfo.php?workbook=14_06.xlsx&amp;sheet=U0&amp;row=3101&amp;col=6&amp;number=4.7&amp;sourceID=14","4.7")</f>
        <v>4.7</v>
      </c>
      <c r="G3101" s="4" t="str">
        <f>HYPERLINK("http://141.218.60.56/~jnz1568/getInfo.php?workbook=14_06.xlsx&amp;sheet=U0&amp;row=3101&amp;col=7&amp;number=0.0267&amp;sourceID=14","0.0267")</f>
        <v>0.0267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HYPERLINK("http://141.218.60.56/~jnz1568/getInfo.php?workbook=14_06.xlsx&amp;sheet=U0&amp;row=3102&amp;col=6&amp;number=4.8&amp;sourceID=14","4.8")</f>
        <v>4.8</v>
      </c>
      <c r="G3102" s="4" t="str">
        <f>HYPERLINK("http://141.218.60.56/~jnz1568/getInfo.php?workbook=14_06.xlsx&amp;sheet=U0&amp;row=3102&amp;col=7&amp;number=0.0265&amp;sourceID=14","0.0265")</f>
        <v>0.0265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HYPERLINK("http://141.218.60.56/~jnz1568/getInfo.php?workbook=14_06.xlsx&amp;sheet=U0&amp;row=3103&amp;col=6&amp;number=4.9&amp;sourceID=14","4.9")</f>
        <v>4.9</v>
      </c>
      <c r="G3103" s="4" t="str">
        <f>HYPERLINK("http://141.218.60.56/~jnz1568/getInfo.php?workbook=14_06.xlsx&amp;sheet=U0&amp;row=3103&amp;col=7&amp;number=0.0264&amp;sourceID=14","0.0264")</f>
        <v>0.0264</v>
      </c>
    </row>
    <row r="3104" spans="1:7">
      <c r="A3104" s="3">
        <v>14</v>
      </c>
      <c r="B3104" s="3">
        <v>6</v>
      </c>
      <c r="C3104" s="3">
        <v>4</v>
      </c>
      <c r="D3104" s="3">
        <v>28</v>
      </c>
      <c r="E3104" s="3">
        <v>1</v>
      </c>
      <c r="F3104" s="4" t="str">
        <f>HYPERLINK("http://141.218.60.56/~jnz1568/getInfo.php?workbook=14_06.xlsx&amp;sheet=U0&amp;row=3104&amp;col=6&amp;number=3&amp;sourceID=14","3")</f>
        <v>3</v>
      </c>
      <c r="G3104" s="4" t="str">
        <f>HYPERLINK("http://141.218.60.56/~jnz1568/getInfo.php?workbook=14_06.xlsx&amp;sheet=U0&amp;row=3104&amp;col=7&amp;number=0.0397&amp;sourceID=14","0.0397")</f>
        <v>0.0397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HYPERLINK("http://141.218.60.56/~jnz1568/getInfo.php?workbook=14_06.xlsx&amp;sheet=U0&amp;row=3105&amp;col=6&amp;number=3.1&amp;sourceID=14","3.1")</f>
        <v>3.1</v>
      </c>
      <c r="G3105" s="4" t="str">
        <f>HYPERLINK("http://141.218.60.56/~jnz1568/getInfo.php?workbook=14_06.xlsx&amp;sheet=U0&amp;row=3105&amp;col=7&amp;number=0.0397&amp;sourceID=14","0.0397")</f>
        <v>0.0397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HYPERLINK("http://141.218.60.56/~jnz1568/getInfo.php?workbook=14_06.xlsx&amp;sheet=U0&amp;row=3106&amp;col=6&amp;number=3.2&amp;sourceID=14","3.2")</f>
        <v>3.2</v>
      </c>
      <c r="G3106" s="4" t="str">
        <f>HYPERLINK("http://141.218.60.56/~jnz1568/getInfo.php?workbook=14_06.xlsx&amp;sheet=U0&amp;row=3106&amp;col=7&amp;number=0.0397&amp;sourceID=14","0.0397")</f>
        <v>0.0397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HYPERLINK("http://141.218.60.56/~jnz1568/getInfo.php?workbook=14_06.xlsx&amp;sheet=U0&amp;row=3107&amp;col=6&amp;number=3.3&amp;sourceID=14","3.3")</f>
        <v>3.3</v>
      </c>
      <c r="G3107" s="4" t="str">
        <f>HYPERLINK("http://141.218.60.56/~jnz1568/getInfo.php?workbook=14_06.xlsx&amp;sheet=U0&amp;row=3107&amp;col=7&amp;number=0.0397&amp;sourceID=14","0.0397")</f>
        <v>0.0397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HYPERLINK("http://141.218.60.56/~jnz1568/getInfo.php?workbook=14_06.xlsx&amp;sheet=U0&amp;row=3108&amp;col=6&amp;number=3.4&amp;sourceID=14","3.4")</f>
        <v>3.4</v>
      </c>
      <c r="G3108" s="4" t="str">
        <f>HYPERLINK("http://141.218.60.56/~jnz1568/getInfo.php?workbook=14_06.xlsx&amp;sheet=U0&amp;row=3108&amp;col=7&amp;number=0.0397&amp;sourceID=14","0.0397")</f>
        <v>0.0397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HYPERLINK("http://141.218.60.56/~jnz1568/getInfo.php?workbook=14_06.xlsx&amp;sheet=U0&amp;row=3109&amp;col=6&amp;number=3.5&amp;sourceID=14","3.5")</f>
        <v>3.5</v>
      </c>
      <c r="G3109" s="4" t="str">
        <f>HYPERLINK("http://141.218.60.56/~jnz1568/getInfo.php?workbook=14_06.xlsx&amp;sheet=U0&amp;row=3109&amp;col=7&amp;number=0.0397&amp;sourceID=14","0.0397")</f>
        <v>0.0397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HYPERLINK("http://141.218.60.56/~jnz1568/getInfo.php?workbook=14_06.xlsx&amp;sheet=U0&amp;row=3110&amp;col=6&amp;number=3.6&amp;sourceID=14","3.6")</f>
        <v>3.6</v>
      </c>
      <c r="G3110" s="4" t="str">
        <f>HYPERLINK("http://141.218.60.56/~jnz1568/getInfo.php?workbook=14_06.xlsx&amp;sheet=U0&amp;row=3110&amp;col=7&amp;number=0.0397&amp;sourceID=14","0.0397")</f>
        <v>0.0397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HYPERLINK("http://141.218.60.56/~jnz1568/getInfo.php?workbook=14_06.xlsx&amp;sheet=U0&amp;row=3111&amp;col=6&amp;number=3.7&amp;sourceID=14","3.7")</f>
        <v>3.7</v>
      </c>
      <c r="G3111" s="4" t="str">
        <f>HYPERLINK("http://141.218.60.56/~jnz1568/getInfo.php?workbook=14_06.xlsx&amp;sheet=U0&amp;row=3111&amp;col=7&amp;number=0.0397&amp;sourceID=14","0.0397")</f>
        <v>0.0397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HYPERLINK("http://141.218.60.56/~jnz1568/getInfo.php?workbook=14_06.xlsx&amp;sheet=U0&amp;row=3112&amp;col=6&amp;number=3.8&amp;sourceID=14","3.8")</f>
        <v>3.8</v>
      </c>
      <c r="G3112" s="4" t="str">
        <f>HYPERLINK("http://141.218.60.56/~jnz1568/getInfo.php?workbook=14_06.xlsx&amp;sheet=U0&amp;row=3112&amp;col=7&amp;number=0.0397&amp;sourceID=14","0.0397")</f>
        <v>0.0397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HYPERLINK("http://141.218.60.56/~jnz1568/getInfo.php?workbook=14_06.xlsx&amp;sheet=U0&amp;row=3113&amp;col=6&amp;number=3.9&amp;sourceID=14","3.9")</f>
        <v>3.9</v>
      </c>
      <c r="G3113" s="4" t="str">
        <f>HYPERLINK("http://141.218.60.56/~jnz1568/getInfo.php?workbook=14_06.xlsx&amp;sheet=U0&amp;row=3113&amp;col=7&amp;number=0.0396&amp;sourceID=14","0.0396")</f>
        <v>0.0396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HYPERLINK("http://141.218.60.56/~jnz1568/getInfo.php?workbook=14_06.xlsx&amp;sheet=U0&amp;row=3114&amp;col=6&amp;number=4&amp;sourceID=14","4")</f>
        <v>4</v>
      </c>
      <c r="G3114" s="4" t="str">
        <f>HYPERLINK("http://141.218.60.56/~jnz1568/getInfo.php?workbook=14_06.xlsx&amp;sheet=U0&amp;row=3114&amp;col=7&amp;number=0.0396&amp;sourceID=14","0.0396")</f>
        <v>0.0396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HYPERLINK("http://141.218.60.56/~jnz1568/getInfo.php?workbook=14_06.xlsx&amp;sheet=U0&amp;row=3115&amp;col=6&amp;number=4.1&amp;sourceID=14","4.1")</f>
        <v>4.1</v>
      </c>
      <c r="G3115" s="4" t="str">
        <f>HYPERLINK("http://141.218.60.56/~jnz1568/getInfo.php?workbook=14_06.xlsx&amp;sheet=U0&amp;row=3115&amp;col=7&amp;number=0.0396&amp;sourceID=14","0.0396")</f>
        <v>0.0396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HYPERLINK("http://141.218.60.56/~jnz1568/getInfo.php?workbook=14_06.xlsx&amp;sheet=U0&amp;row=3116&amp;col=6&amp;number=4.2&amp;sourceID=14","4.2")</f>
        <v>4.2</v>
      </c>
      <c r="G3116" s="4" t="str">
        <f>HYPERLINK("http://141.218.60.56/~jnz1568/getInfo.php?workbook=14_06.xlsx&amp;sheet=U0&amp;row=3116&amp;col=7&amp;number=0.0395&amp;sourceID=14","0.0395")</f>
        <v>0.0395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HYPERLINK("http://141.218.60.56/~jnz1568/getInfo.php?workbook=14_06.xlsx&amp;sheet=U0&amp;row=3117&amp;col=6&amp;number=4.3&amp;sourceID=14","4.3")</f>
        <v>4.3</v>
      </c>
      <c r="G3117" s="4" t="str">
        <f>HYPERLINK("http://141.218.60.56/~jnz1568/getInfo.php?workbook=14_06.xlsx&amp;sheet=U0&amp;row=3117&amp;col=7&amp;number=0.0394&amp;sourceID=14","0.0394")</f>
        <v>0.0394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HYPERLINK("http://141.218.60.56/~jnz1568/getInfo.php?workbook=14_06.xlsx&amp;sheet=U0&amp;row=3118&amp;col=6&amp;number=4.4&amp;sourceID=14","4.4")</f>
        <v>4.4</v>
      </c>
      <c r="G3118" s="4" t="str">
        <f>HYPERLINK("http://141.218.60.56/~jnz1568/getInfo.php?workbook=14_06.xlsx&amp;sheet=U0&amp;row=3118&amp;col=7&amp;number=0.0394&amp;sourceID=14","0.0394")</f>
        <v>0.0394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HYPERLINK("http://141.218.60.56/~jnz1568/getInfo.php?workbook=14_06.xlsx&amp;sheet=U0&amp;row=3119&amp;col=6&amp;number=4.5&amp;sourceID=14","4.5")</f>
        <v>4.5</v>
      </c>
      <c r="G3119" s="4" t="str">
        <f>HYPERLINK("http://141.218.60.56/~jnz1568/getInfo.php?workbook=14_06.xlsx&amp;sheet=U0&amp;row=3119&amp;col=7&amp;number=0.0393&amp;sourceID=14","0.0393")</f>
        <v>0.0393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HYPERLINK("http://141.218.60.56/~jnz1568/getInfo.php?workbook=14_06.xlsx&amp;sheet=U0&amp;row=3120&amp;col=6&amp;number=4.6&amp;sourceID=14","4.6")</f>
        <v>4.6</v>
      </c>
      <c r="G3120" s="4" t="str">
        <f>HYPERLINK("http://141.218.60.56/~jnz1568/getInfo.php?workbook=14_06.xlsx&amp;sheet=U0&amp;row=3120&amp;col=7&amp;number=0.0391&amp;sourceID=14","0.0391")</f>
        <v>0.0391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HYPERLINK("http://141.218.60.56/~jnz1568/getInfo.php?workbook=14_06.xlsx&amp;sheet=U0&amp;row=3121&amp;col=6&amp;number=4.7&amp;sourceID=14","4.7")</f>
        <v>4.7</v>
      </c>
      <c r="G3121" s="4" t="str">
        <f>HYPERLINK("http://141.218.60.56/~jnz1568/getInfo.php?workbook=14_06.xlsx&amp;sheet=U0&amp;row=3121&amp;col=7&amp;number=0.039&amp;sourceID=14","0.039")</f>
        <v>0.039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HYPERLINK("http://141.218.60.56/~jnz1568/getInfo.php?workbook=14_06.xlsx&amp;sheet=U0&amp;row=3122&amp;col=6&amp;number=4.8&amp;sourceID=14","4.8")</f>
        <v>4.8</v>
      </c>
      <c r="G3122" s="4" t="str">
        <f>HYPERLINK("http://141.218.60.56/~jnz1568/getInfo.php?workbook=14_06.xlsx&amp;sheet=U0&amp;row=3122&amp;col=7&amp;number=0.0388&amp;sourceID=14","0.0388")</f>
        <v>0.0388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HYPERLINK("http://141.218.60.56/~jnz1568/getInfo.php?workbook=14_06.xlsx&amp;sheet=U0&amp;row=3123&amp;col=6&amp;number=4.9&amp;sourceID=14","4.9")</f>
        <v>4.9</v>
      </c>
      <c r="G3123" s="4" t="str">
        <f>HYPERLINK("http://141.218.60.56/~jnz1568/getInfo.php?workbook=14_06.xlsx&amp;sheet=U0&amp;row=3123&amp;col=7&amp;number=0.0385&amp;sourceID=14","0.0385")</f>
        <v>0.0385</v>
      </c>
    </row>
    <row r="3124" spans="1:7">
      <c r="A3124" s="3">
        <v>14</v>
      </c>
      <c r="B3124" s="3">
        <v>6</v>
      </c>
      <c r="C3124" s="3">
        <v>4</v>
      </c>
      <c r="D3124" s="3">
        <v>29</v>
      </c>
      <c r="E3124" s="3">
        <v>1</v>
      </c>
      <c r="F3124" s="4" t="str">
        <f>HYPERLINK("http://141.218.60.56/~jnz1568/getInfo.php?workbook=14_06.xlsx&amp;sheet=U0&amp;row=3124&amp;col=6&amp;number=3&amp;sourceID=14","3")</f>
        <v>3</v>
      </c>
      <c r="G3124" s="4" t="str">
        <f>HYPERLINK("http://141.218.60.56/~jnz1568/getInfo.php?workbook=14_06.xlsx&amp;sheet=U0&amp;row=3124&amp;col=7&amp;number=0.0141&amp;sourceID=14","0.0141")</f>
        <v>0.0141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HYPERLINK("http://141.218.60.56/~jnz1568/getInfo.php?workbook=14_06.xlsx&amp;sheet=U0&amp;row=3125&amp;col=6&amp;number=3.1&amp;sourceID=14","3.1")</f>
        <v>3.1</v>
      </c>
      <c r="G3125" s="4" t="str">
        <f>HYPERLINK("http://141.218.60.56/~jnz1568/getInfo.php?workbook=14_06.xlsx&amp;sheet=U0&amp;row=3125&amp;col=7&amp;number=0.0141&amp;sourceID=14","0.0141")</f>
        <v>0.0141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HYPERLINK("http://141.218.60.56/~jnz1568/getInfo.php?workbook=14_06.xlsx&amp;sheet=U0&amp;row=3126&amp;col=6&amp;number=3.2&amp;sourceID=14","3.2")</f>
        <v>3.2</v>
      </c>
      <c r="G3126" s="4" t="str">
        <f>HYPERLINK("http://141.218.60.56/~jnz1568/getInfo.php?workbook=14_06.xlsx&amp;sheet=U0&amp;row=3126&amp;col=7&amp;number=0.0141&amp;sourceID=14","0.0141")</f>
        <v>0.0141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HYPERLINK("http://141.218.60.56/~jnz1568/getInfo.php?workbook=14_06.xlsx&amp;sheet=U0&amp;row=3127&amp;col=6&amp;number=3.3&amp;sourceID=14","3.3")</f>
        <v>3.3</v>
      </c>
      <c r="G3127" s="4" t="str">
        <f>HYPERLINK("http://141.218.60.56/~jnz1568/getInfo.php?workbook=14_06.xlsx&amp;sheet=U0&amp;row=3127&amp;col=7&amp;number=0.0141&amp;sourceID=14","0.0141")</f>
        <v>0.0141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HYPERLINK("http://141.218.60.56/~jnz1568/getInfo.php?workbook=14_06.xlsx&amp;sheet=U0&amp;row=3128&amp;col=6&amp;number=3.4&amp;sourceID=14","3.4")</f>
        <v>3.4</v>
      </c>
      <c r="G3128" s="4" t="str">
        <f>HYPERLINK("http://141.218.60.56/~jnz1568/getInfo.php?workbook=14_06.xlsx&amp;sheet=U0&amp;row=3128&amp;col=7&amp;number=0.0141&amp;sourceID=14","0.0141")</f>
        <v>0.0141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HYPERLINK("http://141.218.60.56/~jnz1568/getInfo.php?workbook=14_06.xlsx&amp;sheet=U0&amp;row=3129&amp;col=6&amp;number=3.5&amp;sourceID=14","3.5")</f>
        <v>3.5</v>
      </c>
      <c r="G3129" s="4" t="str">
        <f>HYPERLINK("http://141.218.60.56/~jnz1568/getInfo.php?workbook=14_06.xlsx&amp;sheet=U0&amp;row=3129&amp;col=7&amp;number=0.0141&amp;sourceID=14","0.0141")</f>
        <v>0.0141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HYPERLINK("http://141.218.60.56/~jnz1568/getInfo.php?workbook=14_06.xlsx&amp;sheet=U0&amp;row=3130&amp;col=6&amp;number=3.6&amp;sourceID=14","3.6")</f>
        <v>3.6</v>
      </c>
      <c r="G3130" s="4" t="str">
        <f>HYPERLINK("http://141.218.60.56/~jnz1568/getInfo.php?workbook=14_06.xlsx&amp;sheet=U0&amp;row=3130&amp;col=7&amp;number=0.0141&amp;sourceID=14","0.0141")</f>
        <v>0.0141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HYPERLINK("http://141.218.60.56/~jnz1568/getInfo.php?workbook=14_06.xlsx&amp;sheet=U0&amp;row=3131&amp;col=6&amp;number=3.7&amp;sourceID=14","3.7")</f>
        <v>3.7</v>
      </c>
      <c r="G3131" s="4" t="str">
        <f>HYPERLINK("http://141.218.60.56/~jnz1568/getInfo.php?workbook=14_06.xlsx&amp;sheet=U0&amp;row=3131&amp;col=7&amp;number=0.014&amp;sourceID=14","0.014")</f>
        <v>0.014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HYPERLINK("http://141.218.60.56/~jnz1568/getInfo.php?workbook=14_06.xlsx&amp;sheet=U0&amp;row=3132&amp;col=6&amp;number=3.8&amp;sourceID=14","3.8")</f>
        <v>3.8</v>
      </c>
      <c r="G3132" s="4" t="str">
        <f>HYPERLINK("http://141.218.60.56/~jnz1568/getInfo.php?workbook=14_06.xlsx&amp;sheet=U0&amp;row=3132&amp;col=7&amp;number=0.014&amp;sourceID=14","0.014")</f>
        <v>0.014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HYPERLINK("http://141.218.60.56/~jnz1568/getInfo.php?workbook=14_06.xlsx&amp;sheet=U0&amp;row=3133&amp;col=6&amp;number=3.9&amp;sourceID=14","3.9")</f>
        <v>3.9</v>
      </c>
      <c r="G3133" s="4" t="str">
        <f>HYPERLINK("http://141.218.60.56/~jnz1568/getInfo.php?workbook=14_06.xlsx&amp;sheet=U0&amp;row=3133&amp;col=7&amp;number=0.014&amp;sourceID=14","0.014")</f>
        <v>0.014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HYPERLINK("http://141.218.60.56/~jnz1568/getInfo.php?workbook=14_06.xlsx&amp;sheet=U0&amp;row=3134&amp;col=6&amp;number=4&amp;sourceID=14","4")</f>
        <v>4</v>
      </c>
      <c r="G3134" s="4" t="str">
        <f>HYPERLINK("http://141.218.60.56/~jnz1568/getInfo.php?workbook=14_06.xlsx&amp;sheet=U0&amp;row=3134&amp;col=7&amp;number=0.014&amp;sourceID=14","0.014")</f>
        <v>0.014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HYPERLINK("http://141.218.60.56/~jnz1568/getInfo.php?workbook=14_06.xlsx&amp;sheet=U0&amp;row=3135&amp;col=6&amp;number=4.1&amp;sourceID=14","4.1")</f>
        <v>4.1</v>
      </c>
      <c r="G3135" s="4" t="str">
        <f>HYPERLINK("http://141.218.60.56/~jnz1568/getInfo.php?workbook=14_06.xlsx&amp;sheet=U0&amp;row=3135&amp;col=7&amp;number=0.014&amp;sourceID=14","0.014")</f>
        <v>0.014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HYPERLINK("http://141.218.60.56/~jnz1568/getInfo.php?workbook=14_06.xlsx&amp;sheet=U0&amp;row=3136&amp;col=6&amp;number=4.2&amp;sourceID=14","4.2")</f>
        <v>4.2</v>
      </c>
      <c r="G3136" s="4" t="str">
        <f>HYPERLINK("http://141.218.60.56/~jnz1568/getInfo.php?workbook=14_06.xlsx&amp;sheet=U0&amp;row=3136&amp;col=7&amp;number=0.014&amp;sourceID=14","0.014")</f>
        <v>0.014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HYPERLINK("http://141.218.60.56/~jnz1568/getInfo.php?workbook=14_06.xlsx&amp;sheet=U0&amp;row=3137&amp;col=6&amp;number=4.3&amp;sourceID=14","4.3")</f>
        <v>4.3</v>
      </c>
      <c r="G3137" s="4" t="str">
        <f>HYPERLINK("http://141.218.60.56/~jnz1568/getInfo.php?workbook=14_06.xlsx&amp;sheet=U0&amp;row=3137&amp;col=7&amp;number=0.014&amp;sourceID=14","0.014")</f>
        <v>0.014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HYPERLINK("http://141.218.60.56/~jnz1568/getInfo.php?workbook=14_06.xlsx&amp;sheet=U0&amp;row=3138&amp;col=6&amp;number=4.4&amp;sourceID=14","4.4")</f>
        <v>4.4</v>
      </c>
      <c r="G3138" s="4" t="str">
        <f>HYPERLINK("http://141.218.60.56/~jnz1568/getInfo.php?workbook=14_06.xlsx&amp;sheet=U0&amp;row=3138&amp;col=7&amp;number=0.014&amp;sourceID=14","0.014")</f>
        <v>0.014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HYPERLINK("http://141.218.60.56/~jnz1568/getInfo.php?workbook=14_06.xlsx&amp;sheet=U0&amp;row=3139&amp;col=6&amp;number=4.5&amp;sourceID=14","4.5")</f>
        <v>4.5</v>
      </c>
      <c r="G3139" s="4" t="str">
        <f>HYPERLINK("http://141.218.60.56/~jnz1568/getInfo.php?workbook=14_06.xlsx&amp;sheet=U0&amp;row=3139&amp;col=7&amp;number=0.0139&amp;sourceID=14","0.0139")</f>
        <v>0.0139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HYPERLINK("http://141.218.60.56/~jnz1568/getInfo.php?workbook=14_06.xlsx&amp;sheet=U0&amp;row=3140&amp;col=6&amp;number=4.6&amp;sourceID=14","4.6")</f>
        <v>4.6</v>
      </c>
      <c r="G3140" s="4" t="str">
        <f>HYPERLINK("http://141.218.60.56/~jnz1568/getInfo.php?workbook=14_06.xlsx&amp;sheet=U0&amp;row=3140&amp;col=7&amp;number=0.0139&amp;sourceID=14","0.0139")</f>
        <v>0.0139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HYPERLINK("http://141.218.60.56/~jnz1568/getInfo.php?workbook=14_06.xlsx&amp;sheet=U0&amp;row=3141&amp;col=6&amp;number=4.7&amp;sourceID=14","4.7")</f>
        <v>4.7</v>
      </c>
      <c r="G3141" s="4" t="str">
        <f>HYPERLINK("http://141.218.60.56/~jnz1568/getInfo.php?workbook=14_06.xlsx&amp;sheet=U0&amp;row=3141&amp;col=7&amp;number=0.0138&amp;sourceID=14","0.0138")</f>
        <v>0.0138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HYPERLINK("http://141.218.60.56/~jnz1568/getInfo.php?workbook=14_06.xlsx&amp;sheet=U0&amp;row=3142&amp;col=6&amp;number=4.8&amp;sourceID=14","4.8")</f>
        <v>4.8</v>
      </c>
      <c r="G3142" s="4" t="str">
        <f>HYPERLINK("http://141.218.60.56/~jnz1568/getInfo.php?workbook=14_06.xlsx&amp;sheet=U0&amp;row=3142&amp;col=7&amp;number=0.0138&amp;sourceID=14","0.0138")</f>
        <v>0.0138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HYPERLINK("http://141.218.60.56/~jnz1568/getInfo.php?workbook=14_06.xlsx&amp;sheet=U0&amp;row=3143&amp;col=6&amp;number=4.9&amp;sourceID=14","4.9")</f>
        <v>4.9</v>
      </c>
      <c r="G3143" s="4" t="str">
        <f>HYPERLINK("http://141.218.60.56/~jnz1568/getInfo.php?workbook=14_06.xlsx&amp;sheet=U0&amp;row=3143&amp;col=7&amp;number=0.0137&amp;sourceID=14","0.0137")</f>
        <v>0.0137</v>
      </c>
    </row>
    <row r="3144" spans="1:7">
      <c r="A3144" s="3">
        <v>14</v>
      </c>
      <c r="B3144" s="3">
        <v>6</v>
      </c>
      <c r="C3144" s="3">
        <v>4</v>
      </c>
      <c r="D3144" s="3">
        <v>30</v>
      </c>
      <c r="E3144" s="3">
        <v>1</v>
      </c>
      <c r="F3144" s="4" t="str">
        <f>HYPERLINK("http://141.218.60.56/~jnz1568/getInfo.php?workbook=14_06.xlsx&amp;sheet=U0&amp;row=3144&amp;col=6&amp;number=3&amp;sourceID=14","3")</f>
        <v>3</v>
      </c>
      <c r="G3144" s="4" t="str">
        <f>HYPERLINK("http://141.218.60.56/~jnz1568/getInfo.php?workbook=14_06.xlsx&amp;sheet=U0&amp;row=3144&amp;col=7&amp;number=0.00433&amp;sourceID=14","0.00433")</f>
        <v>0.00433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HYPERLINK("http://141.218.60.56/~jnz1568/getInfo.php?workbook=14_06.xlsx&amp;sheet=U0&amp;row=3145&amp;col=6&amp;number=3.1&amp;sourceID=14","3.1")</f>
        <v>3.1</v>
      </c>
      <c r="G3145" s="4" t="str">
        <f>HYPERLINK("http://141.218.60.56/~jnz1568/getInfo.php?workbook=14_06.xlsx&amp;sheet=U0&amp;row=3145&amp;col=7&amp;number=0.00433&amp;sourceID=14","0.00433")</f>
        <v>0.00433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HYPERLINK("http://141.218.60.56/~jnz1568/getInfo.php?workbook=14_06.xlsx&amp;sheet=U0&amp;row=3146&amp;col=6&amp;number=3.2&amp;sourceID=14","3.2")</f>
        <v>3.2</v>
      </c>
      <c r="G3146" s="4" t="str">
        <f>HYPERLINK("http://141.218.60.56/~jnz1568/getInfo.php?workbook=14_06.xlsx&amp;sheet=U0&amp;row=3146&amp;col=7&amp;number=0.00432&amp;sourceID=14","0.00432")</f>
        <v>0.00432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HYPERLINK("http://141.218.60.56/~jnz1568/getInfo.php?workbook=14_06.xlsx&amp;sheet=U0&amp;row=3147&amp;col=6&amp;number=3.3&amp;sourceID=14","3.3")</f>
        <v>3.3</v>
      </c>
      <c r="G3147" s="4" t="str">
        <f>HYPERLINK("http://141.218.60.56/~jnz1568/getInfo.php?workbook=14_06.xlsx&amp;sheet=U0&amp;row=3147&amp;col=7&amp;number=0.00432&amp;sourceID=14","0.00432")</f>
        <v>0.00432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HYPERLINK("http://141.218.60.56/~jnz1568/getInfo.php?workbook=14_06.xlsx&amp;sheet=U0&amp;row=3148&amp;col=6&amp;number=3.4&amp;sourceID=14","3.4")</f>
        <v>3.4</v>
      </c>
      <c r="G3148" s="4" t="str">
        <f>HYPERLINK("http://141.218.60.56/~jnz1568/getInfo.php?workbook=14_06.xlsx&amp;sheet=U0&amp;row=3148&amp;col=7&amp;number=0.00432&amp;sourceID=14","0.00432")</f>
        <v>0.00432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HYPERLINK("http://141.218.60.56/~jnz1568/getInfo.php?workbook=14_06.xlsx&amp;sheet=U0&amp;row=3149&amp;col=6&amp;number=3.5&amp;sourceID=14","3.5")</f>
        <v>3.5</v>
      </c>
      <c r="G3149" s="4" t="str">
        <f>HYPERLINK("http://141.218.60.56/~jnz1568/getInfo.php?workbook=14_06.xlsx&amp;sheet=U0&amp;row=3149&amp;col=7&amp;number=0.00432&amp;sourceID=14","0.00432")</f>
        <v>0.00432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HYPERLINK("http://141.218.60.56/~jnz1568/getInfo.php?workbook=14_06.xlsx&amp;sheet=U0&amp;row=3150&amp;col=6&amp;number=3.6&amp;sourceID=14","3.6")</f>
        <v>3.6</v>
      </c>
      <c r="G3150" s="4" t="str">
        <f>HYPERLINK("http://141.218.60.56/~jnz1568/getInfo.php?workbook=14_06.xlsx&amp;sheet=U0&amp;row=3150&amp;col=7&amp;number=0.00432&amp;sourceID=14","0.00432")</f>
        <v>0.00432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HYPERLINK("http://141.218.60.56/~jnz1568/getInfo.php?workbook=14_06.xlsx&amp;sheet=U0&amp;row=3151&amp;col=6&amp;number=3.7&amp;sourceID=14","3.7")</f>
        <v>3.7</v>
      </c>
      <c r="G3151" s="4" t="str">
        <f>HYPERLINK("http://141.218.60.56/~jnz1568/getInfo.php?workbook=14_06.xlsx&amp;sheet=U0&amp;row=3151&amp;col=7&amp;number=0.00432&amp;sourceID=14","0.00432")</f>
        <v>0.00432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HYPERLINK("http://141.218.60.56/~jnz1568/getInfo.php?workbook=14_06.xlsx&amp;sheet=U0&amp;row=3152&amp;col=6&amp;number=3.8&amp;sourceID=14","3.8")</f>
        <v>3.8</v>
      </c>
      <c r="G3152" s="4" t="str">
        <f>HYPERLINK("http://141.218.60.56/~jnz1568/getInfo.php?workbook=14_06.xlsx&amp;sheet=U0&amp;row=3152&amp;col=7&amp;number=0.00432&amp;sourceID=14","0.00432")</f>
        <v>0.00432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HYPERLINK("http://141.218.60.56/~jnz1568/getInfo.php?workbook=14_06.xlsx&amp;sheet=U0&amp;row=3153&amp;col=6&amp;number=3.9&amp;sourceID=14","3.9")</f>
        <v>3.9</v>
      </c>
      <c r="G3153" s="4" t="str">
        <f>HYPERLINK("http://141.218.60.56/~jnz1568/getInfo.php?workbook=14_06.xlsx&amp;sheet=U0&amp;row=3153&amp;col=7&amp;number=0.00431&amp;sourceID=14","0.00431")</f>
        <v>0.00431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HYPERLINK("http://141.218.60.56/~jnz1568/getInfo.php?workbook=14_06.xlsx&amp;sheet=U0&amp;row=3154&amp;col=6&amp;number=4&amp;sourceID=14","4")</f>
        <v>4</v>
      </c>
      <c r="G3154" s="4" t="str">
        <f>HYPERLINK("http://141.218.60.56/~jnz1568/getInfo.php?workbook=14_06.xlsx&amp;sheet=U0&amp;row=3154&amp;col=7&amp;number=0.00431&amp;sourceID=14","0.00431")</f>
        <v>0.00431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HYPERLINK("http://141.218.60.56/~jnz1568/getInfo.php?workbook=14_06.xlsx&amp;sheet=U0&amp;row=3155&amp;col=6&amp;number=4.1&amp;sourceID=14","4.1")</f>
        <v>4.1</v>
      </c>
      <c r="G3155" s="4" t="str">
        <f>HYPERLINK("http://141.218.60.56/~jnz1568/getInfo.php?workbook=14_06.xlsx&amp;sheet=U0&amp;row=3155&amp;col=7&amp;number=0.00431&amp;sourceID=14","0.00431")</f>
        <v>0.00431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HYPERLINK("http://141.218.60.56/~jnz1568/getInfo.php?workbook=14_06.xlsx&amp;sheet=U0&amp;row=3156&amp;col=6&amp;number=4.2&amp;sourceID=14","4.2")</f>
        <v>4.2</v>
      </c>
      <c r="G3156" s="4" t="str">
        <f>HYPERLINK("http://141.218.60.56/~jnz1568/getInfo.php?workbook=14_06.xlsx&amp;sheet=U0&amp;row=3156&amp;col=7&amp;number=0.0043&amp;sourceID=14","0.0043")</f>
        <v>0.0043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HYPERLINK("http://141.218.60.56/~jnz1568/getInfo.php?workbook=14_06.xlsx&amp;sheet=U0&amp;row=3157&amp;col=6&amp;number=4.3&amp;sourceID=14","4.3")</f>
        <v>4.3</v>
      </c>
      <c r="G3157" s="4" t="str">
        <f>HYPERLINK("http://141.218.60.56/~jnz1568/getInfo.php?workbook=14_06.xlsx&amp;sheet=U0&amp;row=3157&amp;col=7&amp;number=0.0043&amp;sourceID=14","0.0043")</f>
        <v>0.0043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HYPERLINK("http://141.218.60.56/~jnz1568/getInfo.php?workbook=14_06.xlsx&amp;sheet=U0&amp;row=3158&amp;col=6&amp;number=4.4&amp;sourceID=14","4.4")</f>
        <v>4.4</v>
      </c>
      <c r="G3158" s="4" t="str">
        <f>HYPERLINK("http://141.218.60.56/~jnz1568/getInfo.php?workbook=14_06.xlsx&amp;sheet=U0&amp;row=3158&amp;col=7&amp;number=0.00429&amp;sourceID=14","0.00429")</f>
        <v>0.00429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HYPERLINK("http://141.218.60.56/~jnz1568/getInfo.php?workbook=14_06.xlsx&amp;sheet=U0&amp;row=3159&amp;col=6&amp;number=4.5&amp;sourceID=14","4.5")</f>
        <v>4.5</v>
      </c>
      <c r="G3159" s="4" t="str">
        <f>HYPERLINK("http://141.218.60.56/~jnz1568/getInfo.php?workbook=14_06.xlsx&amp;sheet=U0&amp;row=3159&amp;col=7&amp;number=0.00428&amp;sourceID=14","0.00428")</f>
        <v>0.00428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HYPERLINK("http://141.218.60.56/~jnz1568/getInfo.php?workbook=14_06.xlsx&amp;sheet=U0&amp;row=3160&amp;col=6&amp;number=4.6&amp;sourceID=14","4.6")</f>
        <v>4.6</v>
      </c>
      <c r="G3160" s="4" t="str">
        <f>HYPERLINK("http://141.218.60.56/~jnz1568/getInfo.php?workbook=14_06.xlsx&amp;sheet=U0&amp;row=3160&amp;col=7&amp;number=0.00427&amp;sourceID=14","0.00427")</f>
        <v>0.00427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HYPERLINK("http://141.218.60.56/~jnz1568/getInfo.php?workbook=14_06.xlsx&amp;sheet=U0&amp;row=3161&amp;col=6&amp;number=4.7&amp;sourceID=14","4.7")</f>
        <v>4.7</v>
      </c>
      <c r="G3161" s="4" t="str">
        <f>HYPERLINK("http://141.218.60.56/~jnz1568/getInfo.php?workbook=14_06.xlsx&amp;sheet=U0&amp;row=3161&amp;col=7&amp;number=0.00425&amp;sourceID=14","0.00425")</f>
        <v>0.00425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HYPERLINK("http://141.218.60.56/~jnz1568/getInfo.php?workbook=14_06.xlsx&amp;sheet=U0&amp;row=3162&amp;col=6&amp;number=4.8&amp;sourceID=14","4.8")</f>
        <v>4.8</v>
      </c>
      <c r="G3162" s="4" t="str">
        <f>HYPERLINK("http://141.218.60.56/~jnz1568/getInfo.php?workbook=14_06.xlsx&amp;sheet=U0&amp;row=3162&amp;col=7&amp;number=0.00423&amp;sourceID=14","0.00423")</f>
        <v>0.00423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HYPERLINK("http://141.218.60.56/~jnz1568/getInfo.php?workbook=14_06.xlsx&amp;sheet=U0&amp;row=3163&amp;col=6&amp;number=4.9&amp;sourceID=14","4.9")</f>
        <v>4.9</v>
      </c>
      <c r="G3163" s="4" t="str">
        <f>HYPERLINK("http://141.218.60.56/~jnz1568/getInfo.php?workbook=14_06.xlsx&amp;sheet=U0&amp;row=3163&amp;col=7&amp;number=0.00421&amp;sourceID=14","0.00421")</f>
        <v>0.00421</v>
      </c>
    </row>
    <row r="3164" spans="1:7">
      <c r="A3164" s="3">
        <v>14</v>
      </c>
      <c r="B3164" s="3">
        <v>6</v>
      </c>
      <c r="C3164" s="3">
        <v>4</v>
      </c>
      <c r="D3164" s="3">
        <v>31</v>
      </c>
      <c r="E3164" s="3">
        <v>1</v>
      </c>
      <c r="F3164" s="4" t="str">
        <f>HYPERLINK("http://141.218.60.56/~jnz1568/getInfo.php?workbook=14_06.xlsx&amp;sheet=U0&amp;row=3164&amp;col=6&amp;number=3&amp;sourceID=14","3")</f>
        <v>3</v>
      </c>
      <c r="G3164" s="4" t="str">
        <f>HYPERLINK("http://141.218.60.56/~jnz1568/getInfo.php?workbook=14_06.xlsx&amp;sheet=U0&amp;row=3164&amp;col=7&amp;number=0.0138&amp;sourceID=14","0.0138")</f>
        <v>0.0138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HYPERLINK("http://141.218.60.56/~jnz1568/getInfo.php?workbook=14_06.xlsx&amp;sheet=U0&amp;row=3165&amp;col=6&amp;number=3.1&amp;sourceID=14","3.1")</f>
        <v>3.1</v>
      </c>
      <c r="G3165" s="4" t="str">
        <f>HYPERLINK("http://141.218.60.56/~jnz1568/getInfo.php?workbook=14_06.xlsx&amp;sheet=U0&amp;row=3165&amp;col=7&amp;number=0.0138&amp;sourceID=14","0.0138")</f>
        <v>0.0138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HYPERLINK("http://141.218.60.56/~jnz1568/getInfo.php?workbook=14_06.xlsx&amp;sheet=U0&amp;row=3166&amp;col=6&amp;number=3.2&amp;sourceID=14","3.2")</f>
        <v>3.2</v>
      </c>
      <c r="G3166" s="4" t="str">
        <f>HYPERLINK("http://141.218.60.56/~jnz1568/getInfo.php?workbook=14_06.xlsx&amp;sheet=U0&amp;row=3166&amp;col=7&amp;number=0.0138&amp;sourceID=14","0.0138")</f>
        <v>0.0138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HYPERLINK("http://141.218.60.56/~jnz1568/getInfo.php?workbook=14_06.xlsx&amp;sheet=U0&amp;row=3167&amp;col=6&amp;number=3.3&amp;sourceID=14","3.3")</f>
        <v>3.3</v>
      </c>
      <c r="G3167" s="4" t="str">
        <f>HYPERLINK("http://141.218.60.56/~jnz1568/getInfo.php?workbook=14_06.xlsx&amp;sheet=U0&amp;row=3167&amp;col=7&amp;number=0.0138&amp;sourceID=14","0.0138")</f>
        <v>0.0138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HYPERLINK("http://141.218.60.56/~jnz1568/getInfo.php?workbook=14_06.xlsx&amp;sheet=U0&amp;row=3168&amp;col=6&amp;number=3.4&amp;sourceID=14","3.4")</f>
        <v>3.4</v>
      </c>
      <c r="G3168" s="4" t="str">
        <f>HYPERLINK("http://141.218.60.56/~jnz1568/getInfo.php?workbook=14_06.xlsx&amp;sheet=U0&amp;row=3168&amp;col=7&amp;number=0.0138&amp;sourceID=14","0.0138")</f>
        <v>0.0138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HYPERLINK("http://141.218.60.56/~jnz1568/getInfo.php?workbook=14_06.xlsx&amp;sheet=U0&amp;row=3169&amp;col=6&amp;number=3.5&amp;sourceID=14","3.5")</f>
        <v>3.5</v>
      </c>
      <c r="G3169" s="4" t="str">
        <f>HYPERLINK("http://141.218.60.56/~jnz1568/getInfo.php?workbook=14_06.xlsx&amp;sheet=U0&amp;row=3169&amp;col=7&amp;number=0.0138&amp;sourceID=14","0.0138")</f>
        <v>0.0138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HYPERLINK("http://141.218.60.56/~jnz1568/getInfo.php?workbook=14_06.xlsx&amp;sheet=U0&amp;row=3170&amp;col=6&amp;number=3.6&amp;sourceID=14","3.6")</f>
        <v>3.6</v>
      </c>
      <c r="G3170" s="4" t="str">
        <f>HYPERLINK("http://141.218.60.56/~jnz1568/getInfo.php?workbook=14_06.xlsx&amp;sheet=U0&amp;row=3170&amp;col=7&amp;number=0.0138&amp;sourceID=14","0.0138")</f>
        <v>0.0138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HYPERLINK("http://141.218.60.56/~jnz1568/getInfo.php?workbook=14_06.xlsx&amp;sheet=U0&amp;row=3171&amp;col=6&amp;number=3.7&amp;sourceID=14","3.7")</f>
        <v>3.7</v>
      </c>
      <c r="G3171" s="4" t="str">
        <f>HYPERLINK("http://141.218.60.56/~jnz1568/getInfo.php?workbook=14_06.xlsx&amp;sheet=U0&amp;row=3171&amp;col=7&amp;number=0.0138&amp;sourceID=14","0.0138")</f>
        <v>0.0138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HYPERLINK("http://141.218.60.56/~jnz1568/getInfo.php?workbook=14_06.xlsx&amp;sheet=U0&amp;row=3172&amp;col=6&amp;number=3.8&amp;sourceID=14","3.8")</f>
        <v>3.8</v>
      </c>
      <c r="G3172" s="4" t="str">
        <f>HYPERLINK("http://141.218.60.56/~jnz1568/getInfo.php?workbook=14_06.xlsx&amp;sheet=U0&amp;row=3172&amp;col=7&amp;number=0.0138&amp;sourceID=14","0.0138")</f>
        <v>0.0138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HYPERLINK("http://141.218.60.56/~jnz1568/getInfo.php?workbook=14_06.xlsx&amp;sheet=U0&amp;row=3173&amp;col=6&amp;number=3.9&amp;sourceID=14","3.9")</f>
        <v>3.9</v>
      </c>
      <c r="G3173" s="4" t="str">
        <f>HYPERLINK("http://141.218.60.56/~jnz1568/getInfo.php?workbook=14_06.xlsx&amp;sheet=U0&amp;row=3173&amp;col=7&amp;number=0.0138&amp;sourceID=14","0.0138")</f>
        <v>0.0138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HYPERLINK("http://141.218.60.56/~jnz1568/getInfo.php?workbook=14_06.xlsx&amp;sheet=U0&amp;row=3174&amp;col=6&amp;number=4&amp;sourceID=14","4")</f>
        <v>4</v>
      </c>
      <c r="G3174" s="4" t="str">
        <f>HYPERLINK("http://141.218.60.56/~jnz1568/getInfo.php?workbook=14_06.xlsx&amp;sheet=U0&amp;row=3174&amp;col=7&amp;number=0.0138&amp;sourceID=14","0.0138")</f>
        <v>0.0138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HYPERLINK("http://141.218.60.56/~jnz1568/getInfo.php?workbook=14_06.xlsx&amp;sheet=U0&amp;row=3175&amp;col=6&amp;number=4.1&amp;sourceID=14","4.1")</f>
        <v>4.1</v>
      </c>
      <c r="G3175" s="4" t="str">
        <f>HYPERLINK("http://141.218.60.56/~jnz1568/getInfo.php?workbook=14_06.xlsx&amp;sheet=U0&amp;row=3175&amp;col=7&amp;number=0.0137&amp;sourceID=14","0.0137")</f>
        <v>0.0137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HYPERLINK("http://141.218.60.56/~jnz1568/getInfo.php?workbook=14_06.xlsx&amp;sheet=U0&amp;row=3176&amp;col=6&amp;number=4.2&amp;sourceID=14","4.2")</f>
        <v>4.2</v>
      </c>
      <c r="G3176" s="4" t="str">
        <f>HYPERLINK("http://141.218.60.56/~jnz1568/getInfo.php?workbook=14_06.xlsx&amp;sheet=U0&amp;row=3176&amp;col=7&amp;number=0.0137&amp;sourceID=14","0.0137")</f>
        <v>0.0137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HYPERLINK("http://141.218.60.56/~jnz1568/getInfo.php?workbook=14_06.xlsx&amp;sheet=U0&amp;row=3177&amp;col=6&amp;number=4.3&amp;sourceID=14","4.3")</f>
        <v>4.3</v>
      </c>
      <c r="G3177" s="4" t="str">
        <f>HYPERLINK("http://141.218.60.56/~jnz1568/getInfo.php?workbook=14_06.xlsx&amp;sheet=U0&amp;row=3177&amp;col=7&amp;number=0.0137&amp;sourceID=14","0.0137")</f>
        <v>0.0137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HYPERLINK("http://141.218.60.56/~jnz1568/getInfo.php?workbook=14_06.xlsx&amp;sheet=U0&amp;row=3178&amp;col=6&amp;number=4.4&amp;sourceID=14","4.4")</f>
        <v>4.4</v>
      </c>
      <c r="G3178" s="4" t="str">
        <f>HYPERLINK("http://141.218.60.56/~jnz1568/getInfo.php?workbook=14_06.xlsx&amp;sheet=U0&amp;row=3178&amp;col=7&amp;number=0.0137&amp;sourceID=14","0.0137")</f>
        <v>0.0137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HYPERLINK("http://141.218.60.56/~jnz1568/getInfo.php?workbook=14_06.xlsx&amp;sheet=U0&amp;row=3179&amp;col=6&amp;number=4.5&amp;sourceID=14","4.5")</f>
        <v>4.5</v>
      </c>
      <c r="G3179" s="4" t="str">
        <f>HYPERLINK("http://141.218.60.56/~jnz1568/getInfo.php?workbook=14_06.xlsx&amp;sheet=U0&amp;row=3179&amp;col=7&amp;number=0.0136&amp;sourceID=14","0.0136")</f>
        <v>0.0136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HYPERLINK("http://141.218.60.56/~jnz1568/getInfo.php?workbook=14_06.xlsx&amp;sheet=U0&amp;row=3180&amp;col=6&amp;number=4.6&amp;sourceID=14","4.6")</f>
        <v>4.6</v>
      </c>
      <c r="G3180" s="4" t="str">
        <f>HYPERLINK("http://141.218.60.56/~jnz1568/getInfo.php?workbook=14_06.xlsx&amp;sheet=U0&amp;row=3180&amp;col=7&amp;number=0.0136&amp;sourceID=14","0.0136")</f>
        <v>0.0136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HYPERLINK("http://141.218.60.56/~jnz1568/getInfo.php?workbook=14_06.xlsx&amp;sheet=U0&amp;row=3181&amp;col=6&amp;number=4.7&amp;sourceID=14","4.7")</f>
        <v>4.7</v>
      </c>
      <c r="G3181" s="4" t="str">
        <f>HYPERLINK("http://141.218.60.56/~jnz1568/getInfo.php?workbook=14_06.xlsx&amp;sheet=U0&amp;row=3181&amp;col=7&amp;number=0.0136&amp;sourceID=14","0.0136")</f>
        <v>0.0136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HYPERLINK("http://141.218.60.56/~jnz1568/getInfo.php?workbook=14_06.xlsx&amp;sheet=U0&amp;row=3182&amp;col=6&amp;number=4.8&amp;sourceID=14","4.8")</f>
        <v>4.8</v>
      </c>
      <c r="G3182" s="4" t="str">
        <f>HYPERLINK("http://141.218.60.56/~jnz1568/getInfo.php?workbook=14_06.xlsx&amp;sheet=U0&amp;row=3182&amp;col=7&amp;number=0.0135&amp;sourceID=14","0.0135")</f>
        <v>0.0135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HYPERLINK("http://141.218.60.56/~jnz1568/getInfo.php?workbook=14_06.xlsx&amp;sheet=U0&amp;row=3183&amp;col=6&amp;number=4.9&amp;sourceID=14","4.9")</f>
        <v>4.9</v>
      </c>
      <c r="G3183" s="4" t="str">
        <f>HYPERLINK("http://141.218.60.56/~jnz1568/getInfo.php?workbook=14_06.xlsx&amp;sheet=U0&amp;row=3183&amp;col=7&amp;number=0.0134&amp;sourceID=14","0.0134")</f>
        <v>0.0134</v>
      </c>
    </row>
    <row r="3184" spans="1:7">
      <c r="A3184" s="3">
        <v>14</v>
      </c>
      <c r="B3184" s="3">
        <v>6</v>
      </c>
      <c r="C3184" s="3">
        <v>4</v>
      </c>
      <c r="D3184" s="3">
        <v>32</v>
      </c>
      <c r="E3184" s="3">
        <v>1</v>
      </c>
      <c r="F3184" s="4" t="str">
        <f>HYPERLINK("http://141.218.60.56/~jnz1568/getInfo.php?workbook=14_06.xlsx&amp;sheet=U0&amp;row=3184&amp;col=6&amp;number=3&amp;sourceID=14","3")</f>
        <v>3</v>
      </c>
      <c r="G3184" s="4" t="str">
        <f>HYPERLINK("http://141.218.60.56/~jnz1568/getInfo.php?workbook=14_06.xlsx&amp;sheet=U0&amp;row=3184&amp;col=7&amp;number=0.0244&amp;sourceID=14","0.0244")</f>
        <v>0.0244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HYPERLINK("http://141.218.60.56/~jnz1568/getInfo.php?workbook=14_06.xlsx&amp;sheet=U0&amp;row=3185&amp;col=6&amp;number=3.1&amp;sourceID=14","3.1")</f>
        <v>3.1</v>
      </c>
      <c r="G3185" s="4" t="str">
        <f>HYPERLINK("http://141.218.60.56/~jnz1568/getInfo.php?workbook=14_06.xlsx&amp;sheet=U0&amp;row=3185&amp;col=7&amp;number=0.0244&amp;sourceID=14","0.0244")</f>
        <v>0.0244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HYPERLINK("http://141.218.60.56/~jnz1568/getInfo.php?workbook=14_06.xlsx&amp;sheet=U0&amp;row=3186&amp;col=6&amp;number=3.2&amp;sourceID=14","3.2")</f>
        <v>3.2</v>
      </c>
      <c r="G3186" s="4" t="str">
        <f>HYPERLINK("http://141.218.60.56/~jnz1568/getInfo.php?workbook=14_06.xlsx&amp;sheet=U0&amp;row=3186&amp;col=7&amp;number=0.0244&amp;sourceID=14","0.0244")</f>
        <v>0.0244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HYPERLINK("http://141.218.60.56/~jnz1568/getInfo.php?workbook=14_06.xlsx&amp;sheet=U0&amp;row=3187&amp;col=6&amp;number=3.3&amp;sourceID=14","3.3")</f>
        <v>3.3</v>
      </c>
      <c r="G3187" s="4" t="str">
        <f>HYPERLINK("http://141.218.60.56/~jnz1568/getInfo.php?workbook=14_06.xlsx&amp;sheet=U0&amp;row=3187&amp;col=7&amp;number=0.0244&amp;sourceID=14","0.0244")</f>
        <v>0.0244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HYPERLINK("http://141.218.60.56/~jnz1568/getInfo.php?workbook=14_06.xlsx&amp;sheet=U0&amp;row=3188&amp;col=6&amp;number=3.4&amp;sourceID=14","3.4")</f>
        <v>3.4</v>
      </c>
      <c r="G3188" s="4" t="str">
        <f>HYPERLINK("http://141.218.60.56/~jnz1568/getInfo.php?workbook=14_06.xlsx&amp;sheet=U0&amp;row=3188&amp;col=7&amp;number=0.0244&amp;sourceID=14","0.0244")</f>
        <v>0.0244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HYPERLINK("http://141.218.60.56/~jnz1568/getInfo.php?workbook=14_06.xlsx&amp;sheet=U0&amp;row=3189&amp;col=6&amp;number=3.5&amp;sourceID=14","3.5")</f>
        <v>3.5</v>
      </c>
      <c r="G3189" s="4" t="str">
        <f>HYPERLINK("http://141.218.60.56/~jnz1568/getInfo.php?workbook=14_06.xlsx&amp;sheet=U0&amp;row=3189&amp;col=7&amp;number=0.0244&amp;sourceID=14","0.0244")</f>
        <v>0.0244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HYPERLINK("http://141.218.60.56/~jnz1568/getInfo.php?workbook=14_06.xlsx&amp;sheet=U0&amp;row=3190&amp;col=6&amp;number=3.6&amp;sourceID=14","3.6")</f>
        <v>3.6</v>
      </c>
      <c r="G3190" s="4" t="str">
        <f>HYPERLINK("http://141.218.60.56/~jnz1568/getInfo.php?workbook=14_06.xlsx&amp;sheet=U0&amp;row=3190&amp;col=7&amp;number=0.0244&amp;sourceID=14","0.0244")</f>
        <v>0.0244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HYPERLINK("http://141.218.60.56/~jnz1568/getInfo.php?workbook=14_06.xlsx&amp;sheet=U0&amp;row=3191&amp;col=6&amp;number=3.7&amp;sourceID=14","3.7")</f>
        <v>3.7</v>
      </c>
      <c r="G3191" s="4" t="str">
        <f>HYPERLINK("http://141.218.60.56/~jnz1568/getInfo.php?workbook=14_06.xlsx&amp;sheet=U0&amp;row=3191&amp;col=7&amp;number=0.0244&amp;sourceID=14","0.0244")</f>
        <v>0.0244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HYPERLINK("http://141.218.60.56/~jnz1568/getInfo.php?workbook=14_06.xlsx&amp;sheet=U0&amp;row=3192&amp;col=6&amp;number=3.8&amp;sourceID=14","3.8")</f>
        <v>3.8</v>
      </c>
      <c r="G3192" s="4" t="str">
        <f>HYPERLINK("http://141.218.60.56/~jnz1568/getInfo.php?workbook=14_06.xlsx&amp;sheet=U0&amp;row=3192&amp;col=7&amp;number=0.0243&amp;sourceID=14","0.0243")</f>
        <v>0.0243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HYPERLINK("http://141.218.60.56/~jnz1568/getInfo.php?workbook=14_06.xlsx&amp;sheet=U0&amp;row=3193&amp;col=6&amp;number=3.9&amp;sourceID=14","3.9")</f>
        <v>3.9</v>
      </c>
      <c r="G3193" s="4" t="str">
        <f>HYPERLINK("http://141.218.60.56/~jnz1568/getInfo.php?workbook=14_06.xlsx&amp;sheet=U0&amp;row=3193&amp;col=7&amp;number=0.0243&amp;sourceID=14","0.0243")</f>
        <v>0.0243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HYPERLINK("http://141.218.60.56/~jnz1568/getInfo.php?workbook=14_06.xlsx&amp;sheet=U0&amp;row=3194&amp;col=6&amp;number=4&amp;sourceID=14","4")</f>
        <v>4</v>
      </c>
      <c r="G3194" s="4" t="str">
        <f>HYPERLINK("http://141.218.60.56/~jnz1568/getInfo.php?workbook=14_06.xlsx&amp;sheet=U0&amp;row=3194&amp;col=7&amp;number=0.0243&amp;sourceID=14","0.0243")</f>
        <v>0.0243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HYPERLINK("http://141.218.60.56/~jnz1568/getInfo.php?workbook=14_06.xlsx&amp;sheet=U0&amp;row=3195&amp;col=6&amp;number=4.1&amp;sourceID=14","4.1")</f>
        <v>4.1</v>
      </c>
      <c r="G3195" s="4" t="str">
        <f>HYPERLINK("http://141.218.60.56/~jnz1568/getInfo.php?workbook=14_06.xlsx&amp;sheet=U0&amp;row=3195&amp;col=7&amp;number=0.0243&amp;sourceID=14","0.0243")</f>
        <v>0.0243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HYPERLINK("http://141.218.60.56/~jnz1568/getInfo.php?workbook=14_06.xlsx&amp;sheet=U0&amp;row=3196&amp;col=6&amp;number=4.2&amp;sourceID=14","4.2")</f>
        <v>4.2</v>
      </c>
      <c r="G3196" s="4" t="str">
        <f>HYPERLINK("http://141.218.60.56/~jnz1568/getInfo.php?workbook=14_06.xlsx&amp;sheet=U0&amp;row=3196&amp;col=7&amp;number=0.0243&amp;sourceID=14","0.0243")</f>
        <v>0.0243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HYPERLINK("http://141.218.60.56/~jnz1568/getInfo.php?workbook=14_06.xlsx&amp;sheet=U0&amp;row=3197&amp;col=6&amp;number=4.3&amp;sourceID=14","4.3")</f>
        <v>4.3</v>
      </c>
      <c r="G3197" s="4" t="str">
        <f>HYPERLINK("http://141.218.60.56/~jnz1568/getInfo.php?workbook=14_06.xlsx&amp;sheet=U0&amp;row=3197&amp;col=7&amp;number=0.0242&amp;sourceID=14","0.0242")</f>
        <v>0.0242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HYPERLINK("http://141.218.60.56/~jnz1568/getInfo.php?workbook=14_06.xlsx&amp;sheet=U0&amp;row=3198&amp;col=6&amp;number=4.4&amp;sourceID=14","4.4")</f>
        <v>4.4</v>
      </c>
      <c r="G3198" s="4" t="str">
        <f>HYPERLINK("http://141.218.60.56/~jnz1568/getInfo.php?workbook=14_06.xlsx&amp;sheet=U0&amp;row=3198&amp;col=7&amp;number=0.0242&amp;sourceID=14","0.0242")</f>
        <v>0.0242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HYPERLINK("http://141.218.60.56/~jnz1568/getInfo.php?workbook=14_06.xlsx&amp;sheet=U0&amp;row=3199&amp;col=6&amp;number=4.5&amp;sourceID=14","4.5")</f>
        <v>4.5</v>
      </c>
      <c r="G3199" s="4" t="str">
        <f>HYPERLINK("http://141.218.60.56/~jnz1568/getInfo.php?workbook=14_06.xlsx&amp;sheet=U0&amp;row=3199&amp;col=7&amp;number=0.0241&amp;sourceID=14","0.0241")</f>
        <v>0.0241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HYPERLINK("http://141.218.60.56/~jnz1568/getInfo.php?workbook=14_06.xlsx&amp;sheet=U0&amp;row=3200&amp;col=6&amp;number=4.6&amp;sourceID=14","4.6")</f>
        <v>4.6</v>
      </c>
      <c r="G3200" s="4" t="str">
        <f>HYPERLINK("http://141.218.60.56/~jnz1568/getInfo.php?workbook=14_06.xlsx&amp;sheet=U0&amp;row=3200&amp;col=7&amp;number=0.0241&amp;sourceID=14","0.0241")</f>
        <v>0.0241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HYPERLINK("http://141.218.60.56/~jnz1568/getInfo.php?workbook=14_06.xlsx&amp;sheet=U0&amp;row=3201&amp;col=6&amp;number=4.7&amp;sourceID=14","4.7")</f>
        <v>4.7</v>
      </c>
      <c r="G3201" s="4" t="str">
        <f>HYPERLINK("http://141.218.60.56/~jnz1568/getInfo.php?workbook=14_06.xlsx&amp;sheet=U0&amp;row=3201&amp;col=7&amp;number=0.024&amp;sourceID=14","0.024")</f>
        <v>0.024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HYPERLINK("http://141.218.60.56/~jnz1568/getInfo.php?workbook=14_06.xlsx&amp;sheet=U0&amp;row=3202&amp;col=6&amp;number=4.8&amp;sourceID=14","4.8")</f>
        <v>4.8</v>
      </c>
      <c r="G3202" s="4" t="str">
        <f>HYPERLINK("http://141.218.60.56/~jnz1568/getInfo.php?workbook=14_06.xlsx&amp;sheet=U0&amp;row=3202&amp;col=7&amp;number=0.0239&amp;sourceID=14","0.0239")</f>
        <v>0.0239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HYPERLINK("http://141.218.60.56/~jnz1568/getInfo.php?workbook=14_06.xlsx&amp;sheet=U0&amp;row=3203&amp;col=6&amp;number=4.9&amp;sourceID=14","4.9")</f>
        <v>4.9</v>
      </c>
      <c r="G3203" s="4" t="str">
        <f>HYPERLINK("http://141.218.60.56/~jnz1568/getInfo.php?workbook=14_06.xlsx&amp;sheet=U0&amp;row=3203&amp;col=7&amp;number=0.0238&amp;sourceID=14","0.0238")</f>
        <v>0.0238</v>
      </c>
    </row>
    <row r="3204" spans="1:7">
      <c r="A3204" s="3">
        <v>14</v>
      </c>
      <c r="B3204" s="3">
        <v>6</v>
      </c>
      <c r="C3204" s="3">
        <v>4</v>
      </c>
      <c r="D3204" s="3">
        <v>33</v>
      </c>
      <c r="E3204" s="3">
        <v>1</v>
      </c>
      <c r="F3204" s="4" t="str">
        <f>HYPERLINK("http://141.218.60.56/~jnz1568/getInfo.php?workbook=14_06.xlsx&amp;sheet=U0&amp;row=3204&amp;col=6&amp;number=3&amp;sourceID=14","3")</f>
        <v>3</v>
      </c>
      <c r="G3204" s="4" t="str">
        <f>HYPERLINK("http://141.218.60.56/~jnz1568/getInfo.php?workbook=14_06.xlsx&amp;sheet=U0&amp;row=3204&amp;col=7&amp;number=0.291&amp;sourceID=14","0.291")</f>
        <v>0.291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HYPERLINK("http://141.218.60.56/~jnz1568/getInfo.php?workbook=14_06.xlsx&amp;sheet=U0&amp;row=3205&amp;col=6&amp;number=3.1&amp;sourceID=14","3.1")</f>
        <v>3.1</v>
      </c>
      <c r="G3205" s="4" t="str">
        <f>HYPERLINK("http://141.218.60.56/~jnz1568/getInfo.php?workbook=14_06.xlsx&amp;sheet=U0&amp;row=3205&amp;col=7&amp;number=0.291&amp;sourceID=14","0.291")</f>
        <v>0.291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HYPERLINK("http://141.218.60.56/~jnz1568/getInfo.php?workbook=14_06.xlsx&amp;sheet=U0&amp;row=3206&amp;col=6&amp;number=3.2&amp;sourceID=14","3.2")</f>
        <v>3.2</v>
      </c>
      <c r="G3206" s="4" t="str">
        <f>HYPERLINK("http://141.218.60.56/~jnz1568/getInfo.php?workbook=14_06.xlsx&amp;sheet=U0&amp;row=3206&amp;col=7&amp;number=0.291&amp;sourceID=14","0.291")</f>
        <v>0.291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HYPERLINK("http://141.218.60.56/~jnz1568/getInfo.php?workbook=14_06.xlsx&amp;sheet=U0&amp;row=3207&amp;col=6&amp;number=3.3&amp;sourceID=14","3.3")</f>
        <v>3.3</v>
      </c>
      <c r="G3207" s="4" t="str">
        <f>HYPERLINK("http://141.218.60.56/~jnz1568/getInfo.php?workbook=14_06.xlsx&amp;sheet=U0&amp;row=3207&amp;col=7&amp;number=0.291&amp;sourceID=14","0.291")</f>
        <v>0.291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HYPERLINK("http://141.218.60.56/~jnz1568/getInfo.php?workbook=14_06.xlsx&amp;sheet=U0&amp;row=3208&amp;col=6&amp;number=3.4&amp;sourceID=14","3.4")</f>
        <v>3.4</v>
      </c>
      <c r="G3208" s="4" t="str">
        <f>HYPERLINK("http://141.218.60.56/~jnz1568/getInfo.php?workbook=14_06.xlsx&amp;sheet=U0&amp;row=3208&amp;col=7&amp;number=0.291&amp;sourceID=14","0.291")</f>
        <v>0.291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HYPERLINK("http://141.218.60.56/~jnz1568/getInfo.php?workbook=14_06.xlsx&amp;sheet=U0&amp;row=3209&amp;col=6&amp;number=3.5&amp;sourceID=14","3.5")</f>
        <v>3.5</v>
      </c>
      <c r="G3209" s="4" t="str">
        <f>HYPERLINK("http://141.218.60.56/~jnz1568/getInfo.php?workbook=14_06.xlsx&amp;sheet=U0&amp;row=3209&amp;col=7&amp;number=0.291&amp;sourceID=14","0.291")</f>
        <v>0.291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HYPERLINK("http://141.218.60.56/~jnz1568/getInfo.php?workbook=14_06.xlsx&amp;sheet=U0&amp;row=3210&amp;col=6&amp;number=3.6&amp;sourceID=14","3.6")</f>
        <v>3.6</v>
      </c>
      <c r="G3210" s="4" t="str">
        <f>HYPERLINK("http://141.218.60.56/~jnz1568/getInfo.php?workbook=14_06.xlsx&amp;sheet=U0&amp;row=3210&amp;col=7&amp;number=0.291&amp;sourceID=14","0.291")</f>
        <v>0.291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HYPERLINK("http://141.218.60.56/~jnz1568/getInfo.php?workbook=14_06.xlsx&amp;sheet=U0&amp;row=3211&amp;col=6&amp;number=3.7&amp;sourceID=14","3.7")</f>
        <v>3.7</v>
      </c>
      <c r="G3211" s="4" t="str">
        <f>HYPERLINK("http://141.218.60.56/~jnz1568/getInfo.php?workbook=14_06.xlsx&amp;sheet=U0&amp;row=3211&amp;col=7&amp;number=0.291&amp;sourceID=14","0.291")</f>
        <v>0.291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HYPERLINK("http://141.218.60.56/~jnz1568/getInfo.php?workbook=14_06.xlsx&amp;sheet=U0&amp;row=3212&amp;col=6&amp;number=3.8&amp;sourceID=14","3.8")</f>
        <v>3.8</v>
      </c>
      <c r="G3212" s="4" t="str">
        <f>HYPERLINK("http://141.218.60.56/~jnz1568/getInfo.php?workbook=14_06.xlsx&amp;sheet=U0&amp;row=3212&amp;col=7&amp;number=0.291&amp;sourceID=14","0.291")</f>
        <v>0.291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HYPERLINK("http://141.218.60.56/~jnz1568/getInfo.php?workbook=14_06.xlsx&amp;sheet=U0&amp;row=3213&amp;col=6&amp;number=3.9&amp;sourceID=14","3.9")</f>
        <v>3.9</v>
      </c>
      <c r="G3213" s="4" t="str">
        <f>HYPERLINK("http://141.218.60.56/~jnz1568/getInfo.php?workbook=14_06.xlsx&amp;sheet=U0&amp;row=3213&amp;col=7&amp;number=0.291&amp;sourceID=14","0.291")</f>
        <v>0.291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HYPERLINK("http://141.218.60.56/~jnz1568/getInfo.php?workbook=14_06.xlsx&amp;sheet=U0&amp;row=3214&amp;col=6&amp;number=4&amp;sourceID=14","4")</f>
        <v>4</v>
      </c>
      <c r="G3214" s="4" t="str">
        <f>HYPERLINK("http://141.218.60.56/~jnz1568/getInfo.php?workbook=14_06.xlsx&amp;sheet=U0&amp;row=3214&amp;col=7&amp;number=0.291&amp;sourceID=14","0.291")</f>
        <v>0.291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HYPERLINK("http://141.218.60.56/~jnz1568/getInfo.php?workbook=14_06.xlsx&amp;sheet=U0&amp;row=3215&amp;col=6&amp;number=4.1&amp;sourceID=14","4.1")</f>
        <v>4.1</v>
      </c>
      <c r="G3215" s="4" t="str">
        <f>HYPERLINK("http://141.218.60.56/~jnz1568/getInfo.php?workbook=14_06.xlsx&amp;sheet=U0&amp;row=3215&amp;col=7&amp;number=0.291&amp;sourceID=14","0.291")</f>
        <v>0.291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HYPERLINK("http://141.218.60.56/~jnz1568/getInfo.php?workbook=14_06.xlsx&amp;sheet=U0&amp;row=3216&amp;col=6&amp;number=4.2&amp;sourceID=14","4.2")</f>
        <v>4.2</v>
      </c>
      <c r="G3216" s="4" t="str">
        <f>HYPERLINK("http://141.218.60.56/~jnz1568/getInfo.php?workbook=14_06.xlsx&amp;sheet=U0&amp;row=3216&amp;col=7&amp;number=0.291&amp;sourceID=14","0.291")</f>
        <v>0.291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HYPERLINK("http://141.218.60.56/~jnz1568/getInfo.php?workbook=14_06.xlsx&amp;sheet=U0&amp;row=3217&amp;col=6&amp;number=4.3&amp;sourceID=14","4.3")</f>
        <v>4.3</v>
      </c>
      <c r="G3217" s="4" t="str">
        <f>HYPERLINK("http://141.218.60.56/~jnz1568/getInfo.php?workbook=14_06.xlsx&amp;sheet=U0&amp;row=3217&amp;col=7&amp;number=0.291&amp;sourceID=14","0.291")</f>
        <v>0.291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HYPERLINK("http://141.218.60.56/~jnz1568/getInfo.php?workbook=14_06.xlsx&amp;sheet=U0&amp;row=3218&amp;col=6&amp;number=4.4&amp;sourceID=14","4.4")</f>
        <v>4.4</v>
      </c>
      <c r="G3218" s="4" t="str">
        <f>HYPERLINK("http://141.218.60.56/~jnz1568/getInfo.php?workbook=14_06.xlsx&amp;sheet=U0&amp;row=3218&amp;col=7&amp;number=0.291&amp;sourceID=14","0.291")</f>
        <v>0.291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HYPERLINK("http://141.218.60.56/~jnz1568/getInfo.php?workbook=14_06.xlsx&amp;sheet=U0&amp;row=3219&amp;col=6&amp;number=4.5&amp;sourceID=14","4.5")</f>
        <v>4.5</v>
      </c>
      <c r="G3219" s="4" t="str">
        <f>HYPERLINK("http://141.218.60.56/~jnz1568/getInfo.php?workbook=14_06.xlsx&amp;sheet=U0&amp;row=3219&amp;col=7&amp;number=0.292&amp;sourceID=14","0.292")</f>
        <v>0.292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HYPERLINK("http://141.218.60.56/~jnz1568/getInfo.php?workbook=14_06.xlsx&amp;sheet=U0&amp;row=3220&amp;col=6&amp;number=4.6&amp;sourceID=14","4.6")</f>
        <v>4.6</v>
      </c>
      <c r="G3220" s="4" t="str">
        <f>HYPERLINK("http://141.218.60.56/~jnz1568/getInfo.php?workbook=14_06.xlsx&amp;sheet=U0&amp;row=3220&amp;col=7&amp;number=0.292&amp;sourceID=14","0.292")</f>
        <v>0.292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HYPERLINK("http://141.218.60.56/~jnz1568/getInfo.php?workbook=14_06.xlsx&amp;sheet=U0&amp;row=3221&amp;col=6&amp;number=4.7&amp;sourceID=14","4.7")</f>
        <v>4.7</v>
      </c>
      <c r="G3221" s="4" t="str">
        <f>HYPERLINK("http://141.218.60.56/~jnz1568/getInfo.php?workbook=14_06.xlsx&amp;sheet=U0&amp;row=3221&amp;col=7&amp;number=0.292&amp;sourceID=14","0.292")</f>
        <v>0.292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HYPERLINK("http://141.218.60.56/~jnz1568/getInfo.php?workbook=14_06.xlsx&amp;sheet=U0&amp;row=3222&amp;col=6&amp;number=4.8&amp;sourceID=14","4.8")</f>
        <v>4.8</v>
      </c>
      <c r="G3222" s="4" t="str">
        <f>HYPERLINK("http://141.218.60.56/~jnz1568/getInfo.php?workbook=14_06.xlsx&amp;sheet=U0&amp;row=3222&amp;col=7&amp;number=0.293&amp;sourceID=14","0.293")</f>
        <v>0.293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HYPERLINK("http://141.218.60.56/~jnz1568/getInfo.php?workbook=14_06.xlsx&amp;sheet=U0&amp;row=3223&amp;col=6&amp;number=4.9&amp;sourceID=14","4.9")</f>
        <v>4.9</v>
      </c>
      <c r="G3223" s="4" t="str">
        <f>HYPERLINK("http://141.218.60.56/~jnz1568/getInfo.php?workbook=14_06.xlsx&amp;sheet=U0&amp;row=3223&amp;col=7&amp;number=0.293&amp;sourceID=14","0.293")</f>
        <v>0.293</v>
      </c>
    </row>
    <row r="3224" spans="1:7">
      <c r="A3224" s="3">
        <v>14</v>
      </c>
      <c r="B3224" s="3">
        <v>6</v>
      </c>
      <c r="C3224" s="3">
        <v>4</v>
      </c>
      <c r="D3224" s="3">
        <v>34</v>
      </c>
      <c r="E3224" s="3">
        <v>1</v>
      </c>
      <c r="F3224" s="4" t="str">
        <f>HYPERLINK("http://141.218.60.56/~jnz1568/getInfo.php?workbook=14_06.xlsx&amp;sheet=U0&amp;row=3224&amp;col=6&amp;number=3&amp;sourceID=14","3")</f>
        <v>3</v>
      </c>
      <c r="G3224" s="4" t="str">
        <f>HYPERLINK("http://141.218.60.56/~jnz1568/getInfo.php?workbook=14_06.xlsx&amp;sheet=U0&amp;row=3224&amp;col=7&amp;number=0.0047&amp;sourceID=14","0.0047")</f>
        <v>0.0047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HYPERLINK("http://141.218.60.56/~jnz1568/getInfo.php?workbook=14_06.xlsx&amp;sheet=U0&amp;row=3225&amp;col=6&amp;number=3.1&amp;sourceID=14","3.1")</f>
        <v>3.1</v>
      </c>
      <c r="G3225" s="4" t="str">
        <f>HYPERLINK("http://141.218.60.56/~jnz1568/getInfo.php?workbook=14_06.xlsx&amp;sheet=U0&amp;row=3225&amp;col=7&amp;number=0.0047&amp;sourceID=14","0.0047")</f>
        <v>0.0047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HYPERLINK("http://141.218.60.56/~jnz1568/getInfo.php?workbook=14_06.xlsx&amp;sheet=U0&amp;row=3226&amp;col=6&amp;number=3.2&amp;sourceID=14","3.2")</f>
        <v>3.2</v>
      </c>
      <c r="G3226" s="4" t="str">
        <f>HYPERLINK("http://141.218.60.56/~jnz1568/getInfo.php?workbook=14_06.xlsx&amp;sheet=U0&amp;row=3226&amp;col=7&amp;number=0.0047&amp;sourceID=14","0.0047")</f>
        <v>0.0047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HYPERLINK("http://141.218.60.56/~jnz1568/getInfo.php?workbook=14_06.xlsx&amp;sheet=U0&amp;row=3227&amp;col=6&amp;number=3.3&amp;sourceID=14","3.3")</f>
        <v>3.3</v>
      </c>
      <c r="G3227" s="4" t="str">
        <f>HYPERLINK("http://141.218.60.56/~jnz1568/getInfo.php?workbook=14_06.xlsx&amp;sheet=U0&amp;row=3227&amp;col=7&amp;number=0.0047&amp;sourceID=14","0.0047")</f>
        <v>0.0047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HYPERLINK("http://141.218.60.56/~jnz1568/getInfo.php?workbook=14_06.xlsx&amp;sheet=U0&amp;row=3228&amp;col=6&amp;number=3.4&amp;sourceID=14","3.4")</f>
        <v>3.4</v>
      </c>
      <c r="G3228" s="4" t="str">
        <f>HYPERLINK("http://141.218.60.56/~jnz1568/getInfo.php?workbook=14_06.xlsx&amp;sheet=U0&amp;row=3228&amp;col=7&amp;number=0.0047&amp;sourceID=14","0.0047")</f>
        <v>0.0047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HYPERLINK("http://141.218.60.56/~jnz1568/getInfo.php?workbook=14_06.xlsx&amp;sheet=U0&amp;row=3229&amp;col=6&amp;number=3.5&amp;sourceID=14","3.5")</f>
        <v>3.5</v>
      </c>
      <c r="G3229" s="4" t="str">
        <f>HYPERLINK("http://141.218.60.56/~jnz1568/getInfo.php?workbook=14_06.xlsx&amp;sheet=U0&amp;row=3229&amp;col=7&amp;number=0.0047&amp;sourceID=14","0.0047")</f>
        <v>0.0047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HYPERLINK("http://141.218.60.56/~jnz1568/getInfo.php?workbook=14_06.xlsx&amp;sheet=U0&amp;row=3230&amp;col=6&amp;number=3.6&amp;sourceID=14","3.6")</f>
        <v>3.6</v>
      </c>
      <c r="G3230" s="4" t="str">
        <f>HYPERLINK("http://141.218.60.56/~jnz1568/getInfo.php?workbook=14_06.xlsx&amp;sheet=U0&amp;row=3230&amp;col=7&amp;number=0.0047&amp;sourceID=14","0.0047")</f>
        <v>0.0047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HYPERLINK("http://141.218.60.56/~jnz1568/getInfo.php?workbook=14_06.xlsx&amp;sheet=U0&amp;row=3231&amp;col=6&amp;number=3.7&amp;sourceID=14","3.7")</f>
        <v>3.7</v>
      </c>
      <c r="G3231" s="4" t="str">
        <f>HYPERLINK("http://141.218.60.56/~jnz1568/getInfo.php?workbook=14_06.xlsx&amp;sheet=U0&amp;row=3231&amp;col=7&amp;number=0.0047&amp;sourceID=14","0.0047")</f>
        <v>0.0047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HYPERLINK("http://141.218.60.56/~jnz1568/getInfo.php?workbook=14_06.xlsx&amp;sheet=U0&amp;row=3232&amp;col=6&amp;number=3.8&amp;sourceID=14","3.8")</f>
        <v>3.8</v>
      </c>
      <c r="G3232" s="4" t="str">
        <f>HYPERLINK("http://141.218.60.56/~jnz1568/getInfo.php?workbook=14_06.xlsx&amp;sheet=U0&amp;row=3232&amp;col=7&amp;number=0.0047&amp;sourceID=14","0.0047")</f>
        <v>0.0047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HYPERLINK("http://141.218.60.56/~jnz1568/getInfo.php?workbook=14_06.xlsx&amp;sheet=U0&amp;row=3233&amp;col=6&amp;number=3.9&amp;sourceID=14","3.9")</f>
        <v>3.9</v>
      </c>
      <c r="G3233" s="4" t="str">
        <f>HYPERLINK("http://141.218.60.56/~jnz1568/getInfo.php?workbook=14_06.xlsx&amp;sheet=U0&amp;row=3233&amp;col=7&amp;number=0.00471&amp;sourceID=14","0.00471")</f>
        <v>0.00471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HYPERLINK("http://141.218.60.56/~jnz1568/getInfo.php?workbook=14_06.xlsx&amp;sheet=U0&amp;row=3234&amp;col=6&amp;number=4&amp;sourceID=14","4")</f>
        <v>4</v>
      </c>
      <c r="G3234" s="4" t="str">
        <f>HYPERLINK("http://141.218.60.56/~jnz1568/getInfo.php?workbook=14_06.xlsx&amp;sheet=U0&amp;row=3234&amp;col=7&amp;number=0.00471&amp;sourceID=14","0.00471")</f>
        <v>0.00471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HYPERLINK("http://141.218.60.56/~jnz1568/getInfo.php?workbook=14_06.xlsx&amp;sheet=U0&amp;row=3235&amp;col=6&amp;number=4.1&amp;sourceID=14","4.1")</f>
        <v>4.1</v>
      </c>
      <c r="G3235" s="4" t="str">
        <f>HYPERLINK("http://141.218.60.56/~jnz1568/getInfo.php?workbook=14_06.xlsx&amp;sheet=U0&amp;row=3235&amp;col=7&amp;number=0.00471&amp;sourceID=14","0.00471")</f>
        <v>0.00471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HYPERLINK("http://141.218.60.56/~jnz1568/getInfo.php?workbook=14_06.xlsx&amp;sheet=U0&amp;row=3236&amp;col=6&amp;number=4.2&amp;sourceID=14","4.2")</f>
        <v>4.2</v>
      </c>
      <c r="G3236" s="4" t="str">
        <f>HYPERLINK("http://141.218.60.56/~jnz1568/getInfo.php?workbook=14_06.xlsx&amp;sheet=U0&amp;row=3236&amp;col=7&amp;number=0.00472&amp;sourceID=14","0.00472")</f>
        <v>0.00472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HYPERLINK("http://141.218.60.56/~jnz1568/getInfo.php?workbook=14_06.xlsx&amp;sheet=U0&amp;row=3237&amp;col=6&amp;number=4.3&amp;sourceID=14","4.3")</f>
        <v>4.3</v>
      </c>
      <c r="G3237" s="4" t="str">
        <f>HYPERLINK("http://141.218.60.56/~jnz1568/getInfo.php?workbook=14_06.xlsx&amp;sheet=U0&amp;row=3237&amp;col=7&amp;number=0.00472&amp;sourceID=14","0.00472")</f>
        <v>0.00472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HYPERLINK("http://141.218.60.56/~jnz1568/getInfo.php?workbook=14_06.xlsx&amp;sheet=U0&amp;row=3238&amp;col=6&amp;number=4.4&amp;sourceID=14","4.4")</f>
        <v>4.4</v>
      </c>
      <c r="G3238" s="4" t="str">
        <f>HYPERLINK("http://141.218.60.56/~jnz1568/getInfo.php?workbook=14_06.xlsx&amp;sheet=U0&amp;row=3238&amp;col=7&amp;number=0.00473&amp;sourceID=14","0.00473")</f>
        <v>0.00473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HYPERLINK("http://141.218.60.56/~jnz1568/getInfo.php?workbook=14_06.xlsx&amp;sheet=U0&amp;row=3239&amp;col=6&amp;number=4.5&amp;sourceID=14","4.5")</f>
        <v>4.5</v>
      </c>
      <c r="G3239" s="4" t="str">
        <f>HYPERLINK("http://141.218.60.56/~jnz1568/getInfo.php?workbook=14_06.xlsx&amp;sheet=U0&amp;row=3239&amp;col=7&amp;number=0.00474&amp;sourceID=14","0.00474")</f>
        <v>0.00474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HYPERLINK("http://141.218.60.56/~jnz1568/getInfo.php?workbook=14_06.xlsx&amp;sheet=U0&amp;row=3240&amp;col=6&amp;number=4.6&amp;sourceID=14","4.6")</f>
        <v>4.6</v>
      </c>
      <c r="G3240" s="4" t="str">
        <f>HYPERLINK("http://141.218.60.56/~jnz1568/getInfo.php?workbook=14_06.xlsx&amp;sheet=U0&amp;row=3240&amp;col=7&amp;number=0.00475&amp;sourceID=14","0.00475")</f>
        <v>0.00475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HYPERLINK("http://141.218.60.56/~jnz1568/getInfo.php?workbook=14_06.xlsx&amp;sheet=U0&amp;row=3241&amp;col=6&amp;number=4.7&amp;sourceID=14","4.7")</f>
        <v>4.7</v>
      </c>
      <c r="G3241" s="4" t="str">
        <f>HYPERLINK("http://141.218.60.56/~jnz1568/getInfo.php?workbook=14_06.xlsx&amp;sheet=U0&amp;row=3241&amp;col=7&amp;number=0.00477&amp;sourceID=14","0.00477")</f>
        <v>0.00477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HYPERLINK("http://141.218.60.56/~jnz1568/getInfo.php?workbook=14_06.xlsx&amp;sheet=U0&amp;row=3242&amp;col=6&amp;number=4.8&amp;sourceID=14","4.8")</f>
        <v>4.8</v>
      </c>
      <c r="G3242" s="4" t="str">
        <f>HYPERLINK("http://141.218.60.56/~jnz1568/getInfo.php?workbook=14_06.xlsx&amp;sheet=U0&amp;row=3242&amp;col=7&amp;number=0.00479&amp;sourceID=14","0.00479")</f>
        <v>0.00479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HYPERLINK("http://141.218.60.56/~jnz1568/getInfo.php?workbook=14_06.xlsx&amp;sheet=U0&amp;row=3243&amp;col=6&amp;number=4.9&amp;sourceID=14","4.9")</f>
        <v>4.9</v>
      </c>
      <c r="G3243" s="4" t="str">
        <f>HYPERLINK("http://141.218.60.56/~jnz1568/getInfo.php?workbook=14_06.xlsx&amp;sheet=U0&amp;row=3243&amp;col=7&amp;number=0.00481&amp;sourceID=14","0.00481")</f>
        <v>0.00481</v>
      </c>
    </row>
    <row r="3244" spans="1:7">
      <c r="A3244" s="3">
        <v>14</v>
      </c>
      <c r="B3244" s="3">
        <v>6</v>
      </c>
      <c r="C3244" s="3">
        <v>4</v>
      </c>
      <c r="D3244" s="3">
        <v>35</v>
      </c>
      <c r="E3244" s="3">
        <v>1</v>
      </c>
      <c r="F3244" s="4" t="str">
        <f>HYPERLINK("http://141.218.60.56/~jnz1568/getInfo.php?workbook=14_06.xlsx&amp;sheet=U0&amp;row=3244&amp;col=6&amp;number=3&amp;sourceID=14","3")</f>
        <v>3</v>
      </c>
      <c r="G3244" s="4" t="str">
        <f>HYPERLINK("http://141.218.60.56/~jnz1568/getInfo.php?workbook=14_06.xlsx&amp;sheet=U0&amp;row=3244&amp;col=7&amp;number=0.0508&amp;sourceID=14","0.0508")</f>
        <v>0.0508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HYPERLINK("http://141.218.60.56/~jnz1568/getInfo.php?workbook=14_06.xlsx&amp;sheet=U0&amp;row=3245&amp;col=6&amp;number=3.1&amp;sourceID=14","3.1")</f>
        <v>3.1</v>
      </c>
      <c r="G3245" s="4" t="str">
        <f>HYPERLINK("http://141.218.60.56/~jnz1568/getInfo.php?workbook=14_06.xlsx&amp;sheet=U0&amp;row=3245&amp;col=7&amp;number=0.0508&amp;sourceID=14","0.0508")</f>
        <v>0.0508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HYPERLINK("http://141.218.60.56/~jnz1568/getInfo.php?workbook=14_06.xlsx&amp;sheet=U0&amp;row=3246&amp;col=6&amp;number=3.2&amp;sourceID=14","3.2")</f>
        <v>3.2</v>
      </c>
      <c r="G3246" s="4" t="str">
        <f>HYPERLINK("http://141.218.60.56/~jnz1568/getInfo.php?workbook=14_06.xlsx&amp;sheet=U0&amp;row=3246&amp;col=7&amp;number=0.0508&amp;sourceID=14","0.0508")</f>
        <v>0.0508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HYPERLINK("http://141.218.60.56/~jnz1568/getInfo.php?workbook=14_06.xlsx&amp;sheet=U0&amp;row=3247&amp;col=6&amp;number=3.3&amp;sourceID=14","3.3")</f>
        <v>3.3</v>
      </c>
      <c r="G3247" s="4" t="str">
        <f>HYPERLINK("http://141.218.60.56/~jnz1568/getInfo.php?workbook=14_06.xlsx&amp;sheet=U0&amp;row=3247&amp;col=7&amp;number=0.0508&amp;sourceID=14","0.0508")</f>
        <v>0.0508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HYPERLINK("http://141.218.60.56/~jnz1568/getInfo.php?workbook=14_06.xlsx&amp;sheet=U0&amp;row=3248&amp;col=6&amp;number=3.4&amp;sourceID=14","3.4")</f>
        <v>3.4</v>
      </c>
      <c r="G3248" s="4" t="str">
        <f>HYPERLINK("http://141.218.60.56/~jnz1568/getInfo.php?workbook=14_06.xlsx&amp;sheet=U0&amp;row=3248&amp;col=7&amp;number=0.0508&amp;sourceID=14","0.0508")</f>
        <v>0.0508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HYPERLINK("http://141.218.60.56/~jnz1568/getInfo.php?workbook=14_06.xlsx&amp;sheet=U0&amp;row=3249&amp;col=6&amp;number=3.5&amp;sourceID=14","3.5")</f>
        <v>3.5</v>
      </c>
      <c r="G3249" s="4" t="str">
        <f>HYPERLINK("http://141.218.60.56/~jnz1568/getInfo.php?workbook=14_06.xlsx&amp;sheet=U0&amp;row=3249&amp;col=7&amp;number=0.0508&amp;sourceID=14","0.0508")</f>
        <v>0.0508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HYPERLINK("http://141.218.60.56/~jnz1568/getInfo.php?workbook=14_06.xlsx&amp;sheet=U0&amp;row=3250&amp;col=6&amp;number=3.6&amp;sourceID=14","3.6")</f>
        <v>3.6</v>
      </c>
      <c r="G3250" s="4" t="str">
        <f>HYPERLINK("http://141.218.60.56/~jnz1568/getInfo.php?workbook=14_06.xlsx&amp;sheet=U0&amp;row=3250&amp;col=7&amp;number=0.0508&amp;sourceID=14","0.0508")</f>
        <v>0.0508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HYPERLINK("http://141.218.60.56/~jnz1568/getInfo.php?workbook=14_06.xlsx&amp;sheet=U0&amp;row=3251&amp;col=6&amp;number=3.7&amp;sourceID=14","3.7")</f>
        <v>3.7</v>
      </c>
      <c r="G3251" s="4" t="str">
        <f>HYPERLINK("http://141.218.60.56/~jnz1568/getInfo.php?workbook=14_06.xlsx&amp;sheet=U0&amp;row=3251&amp;col=7&amp;number=0.0508&amp;sourceID=14","0.0508")</f>
        <v>0.0508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HYPERLINK("http://141.218.60.56/~jnz1568/getInfo.php?workbook=14_06.xlsx&amp;sheet=U0&amp;row=3252&amp;col=6&amp;number=3.8&amp;sourceID=14","3.8")</f>
        <v>3.8</v>
      </c>
      <c r="G3252" s="4" t="str">
        <f>HYPERLINK("http://141.218.60.56/~jnz1568/getInfo.php?workbook=14_06.xlsx&amp;sheet=U0&amp;row=3252&amp;col=7&amp;number=0.0508&amp;sourceID=14","0.0508")</f>
        <v>0.0508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HYPERLINK("http://141.218.60.56/~jnz1568/getInfo.php?workbook=14_06.xlsx&amp;sheet=U0&amp;row=3253&amp;col=6&amp;number=3.9&amp;sourceID=14","3.9")</f>
        <v>3.9</v>
      </c>
      <c r="G3253" s="4" t="str">
        <f>HYPERLINK("http://141.218.60.56/~jnz1568/getInfo.php?workbook=14_06.xlsx&amp;sheet=U0&amp;row=3253&amp;col=7&amp;number=0.0508&amp;sourceID=14","0.0508")</f>
        <v>0.0508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HYPERLINK("http://141.218.60.56/~jnz1568/getInfo.php?workbook=14_06.xlsx&amp;sheet=U0&amp;row=3254&amp;col=6&amp;number=4&amp;sourceID=14","4")</f>
        <v>4</v>
      </c>
      <c r="G3254" s="4" t="str">
        <f>HYPERLINK("http://141.218.60.56/~jnz1568/getInfo.php?workbook=14_06.xlsx&amp;sheet=U0&amp;row=3254&amp;col=7&amp;number=0.0508&amp;sourceID=14","0.0508")</f>
        <v>0.0508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HYPERLINK("http://141.218.60.56/~jnz1568/getInfo.php?workbook=14_06.xlsx&amp;sheet=U0&amp;row=3255&amp;col=6&amp;number=4.1&amp;sourceID=14","4.1")</f>
        <v>4.1</v>
      </c>
      <c r="G3255" s="4" t="str">
        <f>HYPERLINK("http://141.218.60.56/~jnz1568/getInfo.php?workbook=14_06.xlsx&amp;sheet=U0&amp;row=3255&amp;col=7&amp;number=0.0508&amp;sourceID=14","0.0508")</f>
        <v>0.0508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HYPERLINK("http://141.218.60.56/~jnz1568/getInfo.php?workbook=14_06.xlsx&amp;sheet=U0&amp;row=3256&amp;col=6&amp;number=4.2&amp;sourceID=14","4.2")</f>
        <v>4.2</v>
      </c>
      <c r="G3256" s="4" t="str">
        <f>HYPERLINK("http://141.218.60.56/~jnz1568/getInfo.php?workbook=14_06.xlsx&amp;sheet=U0&amp;row=3256&amp;col=7&amp;number=0.0508&amp;sourceID=14","0.0508")</f>
        <v>0.0508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HYPERLINK("http://141.218.60.56/~jnz1568/getInfo.php?workbook=14_06.xlsx&amp;sheet=U0&amp;row=3257&amp;col=6&amp;number=4.3&amp;sourceID=14","4.3")</f>
        <v>4.3</v>
      </c>
      <c r="G3257" s="4" t="str">
        <f>HYPERLINK("http://141.218.60.56/~jnz1568/getInfo.php?workbook=14_06.xlsx&amp;sheet=U0&amp;row=3257&amp;col=7&amp;number=0.0508&amp;sourceID=14","0.0508")</f>
        <v>0.0508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HYPERLINK("http://141.218.60.56/~jnz1568/getInfo.php?workbook=14_06.xlsx&amp;sheet=U0&amp;row=3258&amp;col=6&amp;number=4.4&amp;sourceID=14","4.4")</f>
        <v>4.4</v>
      </c>
      <c r="G3258" s="4" t="str">
        <f>HYPERLINK("http://141.218.60.56/~jnz1568/getInfo.php?workbook=14_06.xlsx&amp;sheet=U0&amp;row=3258&amp;col=7&amp;number=0.0508&amp;sourceID=14","0.0508")</f>
        <v>0.0508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HYPERLINK("http://141.218.60.56/~jnz1568/getInfo.php?workbook=14_06.xlsx&amp;sheet=U0&amp;row=3259&amp;col=6&amp;number=4.5&amp;sourceID=14","4.5")</f>
        <v>4.5</v>
      </c>
      <c r="G3259" s="4" t="str">
        <f>HYPERLINK("http://141.218.60.56/~jnz1568/getInfo.php?workbook=14_06.xlsx&amp;sheet=U0&amp;row=3259&amp;col=7&amp;number=0.0508&amp;sourceID=14","0.0508")</f>
        <v>0.0508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HYPERLINK("http://141.218.60.56/~jnz1568/getInfo.php?workbook=14_06.xlsx&amp;sheet=U0&amp;row=3260&amp;col=6&amp;number=4.6&amp;sourceID=14","4.6")</f>
        <v>4.6</v>
      </c>
      <c r="G3260" s="4" t="str">
        <f>HYPERLINK("http://141.218.60.56/~jnz1568/getInfo.php?workbook=14_06.xlsx&amp;sheet=U0&amp;row=3260&amp;col=7&amp;number=0.0508&amp;sourceID=14","0.0508")</f>
        <v>0.0508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HYPERLINK("http://141.218.60.56/~jnz1568/getInfo.php?workbook=14_06.xlsx&amp;sheet=U0&amp;row=3261&amp;col=6&amp;number=4.7&amp;sourceID=14","4.7")</f>
        <v>4.7</v>
      </c>
      <c r="G3261" s="4" t="str">
        <f>HYPERLINK("http://141.218.60.56/~jnz1568/getInfo.php?workbook=14_06.xlsx&amp;sheet=U0&amp;row=3261&amp;col=7&amp;number=0.0508&amp;sourceID=14","0.0508")</f>
        <v>0.0508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HYPERLINK("http://141.218.60.56/~jnz1568/getInfo.php?workbook=14_06.xlsx&amp;sheet=U0&amp;row=3262&amp;col=6&amp;number=4.8&amp;sourceID=14","4.8")</f>
        <v>4.8</v>
      </c>
      <c r="G3262" s="4" t="str">
        <f>HYPERLINK("http://141.218.60.56/~jnz1568/getInfo.php?workbook=14_06.xlsx&amp;sheet=U0&amp;row=3262&amp;col=7&amp;number=0.0508&amp;sourceID=14","0.0508")</f>
        <v>0.0508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HYPERLINK("http://141.218.60.56/~jnz1568/getInfo.php?workbook=14_06.xlsx&amp;sheet=U0&amp;row=3263&amp;col=6&amp;number=4.9&amp;sourceID=14","4.9")</f>
        <v>4.9</v>
      </c>
      <c r="G3263" s="4" t="str">
        <f>HYPERLINK("http://141.218.60.56/~jnz1568/getInfo.php?workbook=14_06.xlsx&amp;sheet=U0&amp;row=3263&amp;col=7&amp;number=0.0508&amp;sourceID=14","0.0508")</f>
        <v>0.0508</v>
      </c>
    </row>
    <row r="3264" spans="1:7">
      <c r="A3264" s="3">
        <v>14</v>
      </c>
      <c r="B3264" s="3">
        <v>6</v>
      </c>
      <c r="C3264" s="3">
        <v>4</v>
      </c>
      <c r="D3264" s="3">
        <v>36</v>
      </c>
      <c r="E3264" s="3">
        <v>1</v>
      </c>
      <c r="F3264" s="4" t="str">
        <f>HYPERLINK("http://141.218.60.56/~jnz1568/getInfo.php?workbook=14_06.xlsx&amp;sheet=U0&amp;row=3264&amp;col=6&amp;number=3&amp;sourceID=14","3")</f>
        <v>3</v>
      </c>
      <c r="G3264" s="4" t="str">
        <f>HYPERLINK("http://141.218.60.56/~jnz1568/getInfo.php?workbook=14_06.xlsx&amp;sheet=U0&amp;row=3264&amp;col=7&amp;number=0.0568&amp;sourceID=14","0.0568")</f>
        <v>0.0568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HYPERLINK("http://141.218.60.56/~jnz1568/getInfo.php?workbook=14_06.xlsx&amp;sheet=U0&amp;row=3265&amp;col=6&amp;number=3.1&amp;sourceID=14","3.1")</f>
        <v>3.1</v>
      </c>
      <c r="G3265" s="4" t="str">
        <f>HYPERLINK("http://141.218.60.56/~jnz1568/getInfo.php?workbook=14_06.xlsx&amp;sheet=U0&amp;row=3265&amp;col=7&amp;number=0.0568&amp;sourceID=14","0.0568")</f>
        <v>0.0568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HYPERLINK("http://141.218.60.56/~jnz1568/getInfo.php?workbook=14_06.xlsx&amp;sheet=U0&amp;row=3266&amp;col=6&amp;number=3.2&amp;sourceID=14","3.2")</f>
        <v>3.2</v>
      </c>
      <c r="G3266" s="4" t="str">
        <f>HYPERLINK("http://141.218.60.56/~jnz1568/getInfo.php?workbook=14_06.xlsx&amp;sheet=U0&amp;row=3266&amp;col=7&amp;number=0.0568&amp;sourceID=14","0.0568")</f>
        <v>0.0568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HYPERLINK("http://141.218.60.56/~jnz1568/getInfo.php?workbook=14_06.xlsx&amp;sheet=U0&amp;row=3267&amp;col=6&amp;number=3.3&amp;sourceID=14","3.3")</f>
        <v>3.3</v>
      </c>
      <c r="G3267" s="4" t="str">
        <f>HYPERLINK("http://141.218.60.56/~jnz1568/getInfo.php?workbook=14_06.xlsx&amp;sheet=U0&amp;row=3267&amp;col=7&amp;number=0.0568&amp;sourceID=14","0.0568")</f>
        <v>0.0568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HYPERLINK("http://141.218.60.56/~jnz1568/getInfo.php?workbook=14_06.xlsx&amp;sheet=U0&amp;row=3268&amp;col=6&amp;number=3.4&amp;sourceID=14","3.4")</f>
        <v>3.4</v>
      </c>
      <c r="G3268" s="4" t="str">
        <f>HYPERLINK("http://141.218.60.56/~jnz1568/getInfo.php?workbook=14_06.xlsx&amp;sheet=U0&amp;row=3268&amp;col=7&amp;number=0.0568&amp;sourceID=14","0.0568")</f>
        <v>0.0568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HYPERLINK("http://141.218.60.56/~jnz1568/getInfo.php?workbook=14_06.xlsx&amp;sheet=U0&amp;row=3269&amp;col=6&amp;number=3.5&amp;sourceID=14","3.5")</f>
        <v>3.5</v>
      </c>
      <c r="G3269" s="4" t="str">
        <f>HYPERLINK("http://141.218.60.56/~jnz1568/getInfo.php?workbook=14_06.xlsx&amp;sheet=U0&amp;row=3269&amp;col=7&amp;number=0.0568&amp;sourceID=14","0.0568")</f>
        <v>0.0568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HYPERLINK("http://141.218.60.56/~jnz1568/getInfo.php?workbook=14_06.xlsx&amp;sheet=U0&amp;row=3270&amp;col=6&amp;number=3.6&amp;sourceID=14","3.6")</f>
        <v>3.6</v>
      </c>
      <c r="G3270" s="4" t="str">
        <f>HYPERLINK("http://141.218.60.56/~jnz1568/getInfo.php?workbook=14_06.xlsx&amp;sheet=U0&amp;row=3270&amp;col=7&amp;number=0.0567&amp;sourceID=14","0.0567")</f>
        <v>0.0567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HYPERLINK("http://141.218.60.56/~jnz1568/getInfo.php?workbook=14_06.xlsx&amp;sheet=U0&amp;row=3271&amp;col=6&amp;number=3.7&amp;sourceID=14","3.7")</f>
        <v>3.7</v>
      </c>
      <c r="G3271" s="4" t="str">
        <f>HYPERLINK("http://141.218.60.56/~jnz1568/getInfo.php?workbook=14_06.xlsx&amp;sheet=U0&amp;row=3271&amp;col=7&amp;number=0.0567&amp;sourceID=14","0.0567")</f>
        <v>0.0567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HYPERLINK("http://141.218.60.56/~jnz1568/getInfo.php?workbook=14_06.xlsx&amp;sheet=U0&amp;row=3272&amp;col=6&amp;number=3.8&amp;sourceID=14","3.8")</f>
        <v>3.8</v>
      </c>
      <c r="G3272" s="4" t="str">
        <f>HYPERLINK("http://141.218.60.56/~jnz1568/getInfo.php?workbook=14_06.xlsx&amp;sheet=U0&amp;row=3272&amp;col=7&amp;number=0.0567&amp;sourceID=14","0.0567")</f>
        <v>0.0567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HYPERLINK("http://141.218.60.56/~jnz1568/getInfo.php?workbook=14_06.xlsx&amp;sheet=U0&amp;row=3273&amp;col=6&amp;number=3.9&amp;sourceID=14","3.9")</f>
        <v>3.9</v>
      </c>
      <c r="G3273" s="4" t="str">
        <f>HYPERLINK("http://141.218.60.56/~jnz1568/getInfo.php?workbook=14_06.xlsx&amp;sheet=U0&amp;row=3273&amp;col=7&amp;number=0.0567&amp;sourceID=14","0.0567")</f>
        <v>0.0567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HYPERLINK("http://141.218.60.56/~jnz1568/getInfo.php?workbook=14_06.xlsx&amp;sheet=U0&amp;row=3274&amp;col=6&amp;number=4&amp;sourceID=14","4")</f>
        <v>4</v>
      </c>
      <c r="G3274" s="4" t="str">
        <f>HYPERLINK("http://141.218.60.56/~jnz1568/getInfo.php?workbook=14_06.xlsx&amp;sheet=U0&amp;row=3274&amp;col=7&amp;number=0.0566&amp;sourceID=14","0.0566")</f>
        <v>0.0566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HYPERLINK("http://141.218.60.56/~jnz1568/getInfo.php?workbook=14_06.xlsx&amp;sheet=U0&amp;row=3275&amp;col=6&amp;number=4.1&amp;sourceID=14","4.1")</f>
        <v>4.1</v>
      </c>
      <c r="G3275" s="4" t="str">
        <f>HYPERLINK("http://141.218.60.56/~jnz1568/getInfo.php?workbook=14_06.xlsx&amp;sheet=U0&amp;row=3275&amp;col=7&amp;number=0.0566&amp;sourceID=14","0.0566")</f>
        <v>0.0566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HYPERLINK("http://141.218.60.56/~jnz1568/getInfo.php?workbook=14_06.xlsx&amp;sheet=U0&amp;row=3276&amp;col=6&amp;number=4.2&amp;sourceID=14","4.2")</f>
        <v>4.2</v>
      </c>
      <c r="G3276" s="4" t="str">
        <f>HYPERLINK("http://141.218.60.56/~jnz1568/getInfo.php?workbook=14_06.xlsx&amp;sheet=U0&amp;row=3276&amp;col=7&amp;number=0.0565&amp;sourceID=14","0.0565")</f>
        <v>0.0565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HYPERLINK("http://141.218.60.56/~jnz1568/getInfo.php?workbook=14_06.xlsx&amp;sheet=U0&amp;row=3277&amp;col=6&amp;number=4.3&amp;sourceID=14","4.3")</f>
        <v>4.3</v>
      </c>
      <c r="G3277" s="4" t="str">
        <f>HYPERLINK("http://141.218.60.56/~jnz1568/getInfo.php?workbook=14_06.xlsx&amp;sheet=U0&amp;row=3277&amp;col=7&amp;number=0.0564&amp;sourceID=14","0.0564")</f>
        <v>0.0564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HYPERLINK("http://141.218.60.56/~jnz1568/getInfo.php?workbook=14_06.xlsx&amp;sheet=U0&amp;row=3278&amp;col=6&amp;number=4.4&amp;sourceID=14","4.4")</f>
        <v>4.4</v>
      </c>
      <c r="G3278" s="4" t="str">
        <f>HYPERLINK("http://141.218.60.56/~jnz1568/getInfo.php?workbook=14_06.xlsx&amp;sheet=U0&amp;row=3278&amp;col=7&amp;number=0.0563&amp;sourceID=14","0.0563")</f>
        <v>0.0563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HYPERLINK("http://141.218.60.56/~jnz1568/getInfo.php?workbook=14_06.xlsx&amp;sheet=U0&amp;row=3279&amp;col=6&amp;number=4.5&amp;sourceID=14","4.5")</f>
        <v>4.5</v>
      </c>
      <c r="G3279" s="4" t="str">
        <f>HYPERLINK("http://141.218.60.56/~jnz1568/getInfo.php?workbook=14_06.xlsx&amp;sheet=U0&amp;row=3279&amp;col=7&amp;number=0.0562&amp;sourceID=14","0.0562")</f>
        <v>0.0562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HYPERLINK("http://141.218.60.56/~jnz1568/getInfo.php?workbook=14_06.xlsx&amp;sheet=U0&amp;row=3280&amp;col=6&amp;number=4.6&amp;sourceID=14","4.6")</f>
        <v>4.6</v>
      </c>
      <c r="G3280" s="4" t="str">
        <f>HYPERLINK("http://141.218.60.56/~jnz1568/getInfo.php?workbook=14_06.xlsx&amp;sheet=U0&amp;row=3280&amp;col=7&amp;number=0.056&amp;sourceID=14","0.056")</f>
        <v>0.056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HYPERLINK("http://141.218.60.56/~jnz1568/getInfo.php?workbook=14_06.xlsx&amp;sheet=U0&amp;row=3281&amp;col=6&amp;number=4.7&amp;sourceID=14","4.7")</f>
        <v>4.7</v>
      </c>
      <c r="G3281" s="4" t="str">
        <f>HYPERLINK("http://141.218.60.56/~jnz1568/getInfo.php?workbook=14_06.xlsx&amp;sheet=U0&amp;row=3281&amp;col=7&amp;number=0.0558&amp;sourceID=14","0.0558")</f>
        <v>0.0558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HYPERLINK("http://141.218.60.56/~jnz1568/getInfo.php?workbook=14_06.xlsx&amp;sheet=U0&amp;row=3282&amp;col=6&amp;number=4.8&amp;sourceID=14","4.8")</f>
        <v>4.8</v>
      </c>
      <c r="G3282" s="4" t="str">
        <f>HYPERLINK("http://141.218.60.56/~jnz1568/getInfo.php?workbook=14_06.xlsx&amp;sheet=U0&amp;row=3282&amp;col=7&amp;number=0.0555&amp;sourceID=14","0.0555")</f>
        <v>0.0555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HYPERLINK("http://141.218.60.56/~jnz1568/getInfo.php?workbook=14_06.xlsx&amp;sheet=U0&amp;row=3283&amp;col=6&amp;number=4.9&amp;sourceID=14","4.9")</f>
        <v>4.9</v>
      </c>
      <c r="G3283" s="4" t="str">
        <f>HYPERLINK("http://141.218.60.56/~jnz1568/getInfo.php?workbook=14_06.xlsx&amp;sheet=U0&amp;row=3283&amp;col=7&amp;number=0.0552&amp;sourceID=14","0.0552")</f>
        <v>0.0552</v>
      </c>
    </row>
    <row r="3284" spans="1:7">
      <c r="A3284" s="3">
        <v>14</v>
      </c>
      <c r="B3284" s="3">
        <v>6</v>
      </c>
      <c r="C3284" s="3">
        <v>4</v>
      </c>
      <c r="D3284" s="3">
        <v>37</v>
      </c>
      <c r="E3284" s="3">
        <v>1</v>
      </c>
      <c r="F3284" s="4" t="str">
        <f>HYPERLINK("http://141.218.60.56/~jnz1568/getInfo.php?workbook=14_06.xlsx&amp;sheet=U0&amp;row=3284&amp;col=6&amp;number=3&amp;sourceID=14","3")</f>
        <v>3</v>
      </c>
      <c r="G3284" s="4" t="str">
        <f>HYPERLINK("http://141.218.60.56/~jnz1568/getInfo.php?workbook=14_06.xlsx&amp;sheet=U0&amp;row=3284&amp;col=7&amp;number=0.106&amp;sourceID=14","0.106")</f>
        <v>0.106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HYPERLINK("http://141.218.60.56/~jnz1568/getInfo.php?workbook=14_06.xlsx&amp;sheet=U0&amp;row=3285&amp;col=6&amp;number=3.1&amp;sourceID=14","3.1")</f>
        <v>3.1</v>
      </c>
      <c r="G3285" s="4" t="str">
        <f>HYPERLINK("http://141.218.60.56/~jnz1568/getInfo.php?workbook=14_06.xlsx&amp;sheet=U0&amp;row=3285&amp;col=7&amp;number=0.106&amp;sourceID=14","0.106")</f>
        <v>0.106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HYPERLINK("http://141.218.60.56/~jnz1568/getInfo.php?workbook=14_06.xlsx&amp;sheet=U0&amp;row=3286&amp;col=6&amp;number=3.2&amp;sourceID=14","3.2")</f>
        <v>3.2</v>
      </c>
      <c r="G3286" s="4" t="str">
        <f>HYPERLINK("http://141.218.60.56/~jnz1568/getInfo.php?workbook=14_06.xlsx&amp;sheet=U0&amp;row=3286&amp;col=7&amp;number=0.106&amp;sourceID=14","0.106")</f>
        <v>0.106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HYPERLINK("http://141.218.60.56/~jnz1568/getInfo.php?workbook=14_06.xlsx&amp;sheet=U0&amp;row=3287&amp;col=6&amp;number=3.3&amp;sourceID=14","3.3")</f>
        <v>3.3</v>
      </c>
      <c r="G3287" s="4" t="str">
        <f>HYPERLINK("http://141.218.60.56/~jnz1568/getInfo.php?workbook=14_06.xlsx&amp;sheet=U0&amp;row=3287&amp;col=7&amp;number=0.106&amp;sourceID=14","0.106")</f>
        <v>0.106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HYPERLINK("http://141.218.60.56/~jnz1568/getInfo.php?workbook=14_06.xlsx&amp;sheet=U0&amp;row=3288&amp;col=6&amp;number=3.4&amp;sourceID=14","3.4")</f>
        <v>3.4</v>
      </c>
      <c r="G3288" s="4" t="str">
        <f>HYPERLINK("http://141.218.60.56/~jnz1568/getInfo.php?workbook=14_06.xlsx&amp;sheet=U0&amp;row=3288&amp;col=7&amp;number=0.106&amp;sourceID=14","0.106")</f>
        <v>0.106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HYPERLINK("http://141.218.60.56/~jnz1568/getInfo.php?workbook=14_06.xlsx&amp;sheet=U0&amp;row=3289&amp;col=6&amp;number=3.5&amp;sourceID=14","3.5")</f>
        <v>3.5</v>
      </c>
      <c r="G3289" s="4" t="str">
        <f>HYPERLINK("http://141.218.60.56/~jnz1568/getInfo.php?workbook=14_06.xlsx&amp;sheet=U0&amp;row=3289&amp;col=7&amp;number=0.106&amp;sourceID=14","0.106")</f>
        <v>0.106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HYPERLINK("http://141.218.60.56/~jnz1568/getInfo.php?workbook=14_06.xlsx&amp;sheet=U0&amp;row=3290&amp;col=6&amp;number=3.6&amp;sourceID=14","3.6")</f>
        <v>3.6</v>
      </c>
      <c r="G3290" s="4" t="str">
        <f>HYPERLINK("http://141.218.60.56/~jnz1568/getInfo.php?workbook=14_06.xlsx&amp;sheet=U0&amp;row=3290&amp;col=7&amp;number=0.106&amp;sourceID=14","0.106")</f>
        <v>0.106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HYPERLINK("http://141.218.60.56/~jnz1568/getInfo.php?workbook=14_06.xlsx&amp;sheet=U0&amp;row=3291&amp;col=6&amp;number=3.7&amp;sourceID=14","3.7")</f>
        <v>3.7</v>
      </c>
      <c r="G3291" s="4" t="str">
        <f>HYPERLINK("http://141.218.60.56/~jnz1568/getInfo.php?workbook=14_06.xlsx&amp;sheet=U0&amp;row=3291&amp;col=7&amp;number=0.106&amp;sourceID=14","0.106")</f>
        <v>0.106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HYPERLINK("http://141.218.60.56/~jnz1568/getInfo.php?workbook=14_06.xlsx&amp;sheet=U0&amp;row=3292&amp;col=6&amp;number=3.8&amp;sourceID=14","3.8")</f>
        <v>3.8</v>
      </c>
      <c r="G3292" s="4" t="str">
        <f>HYPERLINK("http://141.218.60.56/~jnz1568/getInfo.php?workbook=14_06.xlsx&amp;sheet=U0&amp;row=3292&amp;col=7&amp;number=0.106&amp;sourceID=14","0.106")</f>
        <v>0.106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HYPERLINK("http://141.218.60.56/~jnz1568/getInfo.php?workbook=14_06.xlsx&amp;sheet=U0&amp;row=3293&amp;col=6&amp;number=3.9&amp;sourceID=14","3.9")</f>
        <v>3.9</v>
      </c>
      <c r="G3293" s="4" t="str">
        <f>HYPERLINK("http://141.218.60.56/~jnz1568/getInfo.php?workbook=14_06.xlsx&amp;sheet=U0&amp;row=3293&amp;col=7&amp;number=0.106&amp;sourceID=14","0.106")</f>
        <v>0.106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HYPERLINK("http://141.218.60.56/~jnz1568/getInfo.php?workbook=14_06.xlsx&amp;sheet=U0&amp;row=3294&amp;col=6&amp;number=4&amp;sourceID=14","4")</f>
        <v>4</v>
      </c>
      <c r="G3294" s="4" t="str">
        <f>HYPERLINK("http://141.218.60.56/~jnz1568/getInfo.php?workbook=14_06.xlsx&amp;sheet=U0&amp;row=3294&amp;col=7&amp;number=0.106&amp;sourceID=14","0.106")</f>
        <v>0.106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HYPERLINK("http://141.218.60.56/~jnz1568/getInfo.php?workbook=14_06.xlsx&amp;sheet=U0&amp;row=3295&amp;col=6&amp;number=4.1&amp;sourceID=14","4.1")</f>
        <v>4.1</v>
      </c>
      <c r="G3295" s="4" t="str">
        <f>HYPERLINK("http://141.218.60.56/~jnz1568/getInfo.php?workbook=14_06.xlsx&amp;sheet=U0&amp;row=3295&amp;col=7&amp;number=0.106&amp;sourceID=14","0.106")</f>
        <v>0.106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HYPERLINK("http://141.218.60.56/~jnz1568/getInfo.php?workbook=14_06.xlsx&amp;sheet=U0&amp;row=3296&amp;col=6&amp;number=4.2&amp;sourceID=14","4.2")</f>
        <v>4.2</v>
      </c>
      <c r="G3296" s="4" t="str">
        <f>HYPERLINK("http://141.218.60.56/~jnz1568/getInfo.php?workbook=14_06.xlsx&amp;sheet=U0&amp;row=3296&amp;col=7&amp;number=0.106&amp;sourceID=14","0.106")</f>
        <v>0.106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HYPERLINK("http://141.218.60.56/~jnz1568/getInfo.php?workbook=14_06.xlsx&amp;sheet=U0&amp;row=3297&amp;col=6&amp;number=4.3&amp;sourceID=14","4.3")</f>
        <v>4.3</v>
      </c>
      <c r="G3297" s="4" t="str">
        <f>HYPERLINK("http://141.218.60.56/~jnz1568/getInfo.php?workbook=14_06.xlsx&amp;sheet=U0&amp;row=3297&amp;col=7&amp;number=0.106&amp;sourceID=14","0.106")</f>
        <v>0.106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HYPERLINK("http://141.218.60.56/~jnz1568/getInfo.php?workbook=14_06.xlsx&amp;sheet=U0&amp;row=3298&amp;col=6&amp;number=4.4&amp;sourceID=14","4.4")</f>
        <v>4.4</v>
      </c>
      <c r="G3298" s="4" t="str">
        <f>HYPERLINK("http://141.218.60.56/~jnz1568/getInfo.php?workbook=14_06.xlsx&amp;sheet=U0&amp;row=3298&amp;col=7&amp;number=0.107&amp;sourceID=14","0.107")</f>
        <v>0.107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HYPERLINK("http://141.218.60.56/~jnz1568/getInfo.php?workbook=14_06.xlsx&amp;sheet=U0&amp;row=3299&amp;col=6&amp;number=4.5&amp;sourceID=14","4.5")</f>
        <v>4.5</v>
      </c>
      <c r="G3299" s="4" t="str">
        <f>HYPERLINK("http://141.218.60.56/~jnz1568/getInfo.php?workbook=14_06.xlsx&amp;sheet=U0&amp;row=3299&amp;col=7&amp;number=0.107&amp;sourceID=14","0.107")</f>
        <v>0.107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HYPERLINK("http://141.218.60.56/~jnz1568/getInfo.php?workbook=14_06.xlsx&amp;sheet=U0&amp;row=3300&amp;col=6&amp;number=4.6&amp;sourceID=14","4.6")</f>
        <v>4.6</v>
      </c>
      <c r="G3300" s="4" t="str">
        <f>HYPERLINK("http://141.218.60.56/~jnz1568/getInfo.php?workbook=14_06.xlsx&amp;sheet=U0&amp;row=3300&amp;col=7&amp;number=0.107&amp;sourceID=14","0.107")</f>
        <v>0.107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HYPERLINK("http://141.218.60.56/~jnz1568/getInfo.php?workbook=14_06.xlsx&amp;sheet=U0&amp;row=3301&amp;col=6&amp;number=4.7&amp;sourceID=14","4.7")</f>
        <v>4.7</v>
      </c>
      <c r="G3301" s="4" t="str">
        <f>HYPERLINK("http://141.218.60.56/~jnz1568/getInfo.php?workbook=14_06.xlsx&amp;sheet=U0&amp;row=3301&amp;col=7&amp;number=0.108&amp;sourceID=14","0.108")</f>
        <v>0.108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HYPERLINK("http://141.218.60.56/~jnz1568/getInfo.php?workbook=14_06.xlsx&amp;sheet=U0&amp;row=3302&amp;col=6&amp;number=4.8&amp;sourceID=14","4.8")</f>
        <v>4.8</v>
      </c>
      <c r="G3302" s="4" t="str">
        <f>HYPERLINK("http://141.218.60.56/~jnz1568/getInfo.php?workbook=14_06.xlsx&amp;sheet=U0&amp;row=3302&amp;col=7&amp;number=0.108&amp;sourceID=14","0.108")</f>
        <v>0.108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HYPERLINK("http://141.218.60.56/~jnz1568/getInfo.php?workbook=14_06.xlsx&amp;sheet=U0&amp;row=3303&amp;col=6&amp;number=4.9&amp;sourceID=14","4.9")</f>
        <v>4.9</v>
      </c>
      <c r="G3303" s="4" t="str">
        <f>HYPERLINK("http://141.218.60.56/~jnz1568/getInfo.php?workbook=14_06.xlsx&amp;sheet=U0&amp;row=3303&amp;col=7&amp;number=0.109&amp;sourceID=14","0.109")</f>
        <v>0.109</v>
      </c>
    </row>
    <row r="3304" spans="1:7">
      <c r="A3304" s="3">
        <v>14</v>
      </c>
      <c r="B3304" s="3">
        <v>6</v>
      </c>
      <c r="C3304" s="3">
        <v>4</v>
      </c>
      <c r="D3304" s="3">
        <v>38</v>
      </c>
      <c r="E3304" s="3">
        <v>1</v>
      </c>
      <c r="F3304" s="4" t="str">
        <f>HYPERLINK("http://141.218.60.56/~jnz1568/getInfo.php?workbook=14_06.xlsx&amp;sheet=U0&amp;row=3304&amp;col=6&amp;number=3&amp;sourceID=14","3")</f>
        <v>3</v>
      </c>
      <c r="G3304" s="4" t="str">
        <f>HYPERLINK("http://141.218.60.56/~jnz1568/getInfo.php?workbook=14_06.xlsx&amp;sheet=U0&amp;row=3304&amp;col=7&amp;number=0.0757&amp;sourceID=14","0.0757")</f>
        <v>0.0757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HYPERLINK("http://141.218.60.56/~jnz1568/getInfo.php?workbook=14_06.xlsx&amp;sheet=U0&amp;row=3305&amp;col=6&amp;number=3.1&amp;sourceID=14","3.1")</f>
        <v>3.1</v>
      </c>
      <c r="G3305" s="4" t="str">
        <f>HYPERLINK("http://141.218.60.56/~jnz1568/getInfo.php?workbook=14_06.xlsx&amp;sheet=U0&amp;row=3305&amp;col=7&amp;number=0.0757&amp;sourceID=14","0.0757")</f>
        <v>0.0757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HYPERLINK("http://141.218.60.56/~jnz1568/getInfo.php?workbook=14_06.xlsx&amp;sheet=U0&amp;row=3306&amp;col=6&amp;number=3.2&amp;sourceID=14","3.2")</f>
        <v>3.2</v>
      </c>
      <c r="G3306" s="4" t="str">
        <f>HYPERLINK("http://141.218.60.56/~jnz1568/getInfo.php?workbook=14_06.xlsx&amp;sheet=U0&amp;row=3306&amp;col=7&amp;number=0.0757&amp;sourceID=14","0.0757")</f>
        <v>0.0757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HYPERLINK("http://141.218.60.56/~jnz1568/getInfo.php?workbook=14_06.xlsx&amp;sheet=U0&amp;row=3307&amp;col=6&amp;number=3.3&amp;sourceID=14","3.3")</f>
        <v>3.3</v>
      </c>
      <c r="G3307" s="4" t="str">
        <f>HYPERLINK("http://141.218.60.56/~jnz1568/getInfo.php?workbook=14_06.xlsx&amp;sheet=U0&amp;row=3307&amp;col=7&amp;number=0.0757&amp;sourceID=14","0.0757")</f>
        <v>0.0757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HYPERLINK("http://141.218.60.56/~jnz1568/getInfo.php?workbook=14_06.xlsx&amp;sheet=U0&amp;row=3308&amp;col=6&amp;number=3.4&amp;sourceID=14","3.4")</f>
        <v>3.4</v>
      </c>
      <c r="G3308" s="4" t="str">
        <f>HYPERLINK("http://141.218.60.56/~jnz1568/getInfo.php?workbook=14_06.xlsx&amp;sheet=U0&amp;row=3308&amp;col=7&amp;number=0.0757&amp;sourceID=14","0.0757")</f>
        <v>0.0757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HYPERLINK("http://141.218.60.56/~jnz1568/getInfo.php?workbook=14_06.xlsx&amp;sheet=U0&amp;row=3309&amp;col=6&amp;number=3.5&amp;sourceID=14","3.5")</f>
        <v>3.5</v>
      </c>
      <c r="G3309" s="4" t="str">
        <f>HYPERLINK("http://141.218.60.56/~jnz1568/getInfo.php?workbook=14_06.xlsx&amp;sheet=U0&amp;row=3309&amp;col=7&amp;number=0.0757&amp;sourceID=14","0.0757")</f>
        <v>0.0757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HYPERLINK("http://141.218.60.56/~jnz1568/getInfo.php?workbook=14_06.xlsx&amp;sheet=U0&amp;row=3310&amp;col=6&amp;number=3.6&amp;sourceID=14","3.6")</f>
        <v>3.6</v>
      </c>
      <c r="G3310" s="4" t="str">
        <f>HYPERLINK("http://141.218.60.56/~jnz1568/getInfo.php?workbook=14_06.xlsx&amp;sheet=U0&amp;row=3310&amp;col=7&amp;number=0.0756&amp;sourceID=14","0.0756")</f>
        <v>0.0756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HYPERLINK("http://141.218.60.56/~jnz1568/getInfo.php?workbook=14_06.xlsx&amp;sheet=U0&amp;row=3311&amp;col=6&amp;number=3.7&amp;sourceID=14","3.7")</f>
        <v>3.7</v>
      </c>
      <c r="G3311" s="4" t="str">
        <f>HYPERLINK("http://141.218.60.56/~jnz1568/getInfo.php?workbook=14_06.xlsx&amp;sheet=U0&amp;row=3311&amp;col=7&amp;number=0.0756&amp;sourceID=14","0.0756")</f>
        <v>0.0756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HYPERLINK("http://141.218.60.56/~jnz1568/getInfo.php?workbook=14_06.xlsx&amp;sheet=U0&amp;row=3312&amp;col=6&amp;number=3.8&amp;sourceID=14","3.8")</f>
        <v>3.8</v>
      </c>
      <c r="G3312" s="4" t="str">
        <f>HYPERLINK("http://141.218.60.56/~jnz1568/getInfo.php?workbook=14_06.xlsx&amp;sheet=U0&amp;row=3312&amp;col=7&amp;number=0.0756&amp;sourceID=14","0.0756")</f>
        <v>0.0756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HYPERLINK("http://141.218.60.56/~jnz1568/getInfo.php?workbook=14_06.xlsx&amp;sheet=U0&amp;row=3313&amp;col=6&amp;number=3.9&amp;sourceID=14","3.9")</f>
        <v>3.9</v>
      </c>
      <c r="G3313" s="4" t="str">
        <f>HYPERLINK("http://141.218.60.56/~jnz1568/getInfo.php?workbook=14_06.xlsx&amp;sheet=U0&amp;row=3313&amp;col=7&amp;number=0.0755&amp;sourceID=14","0.0755")</f>
        <v>0.0755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HYPERLINK("http://141.218.60.56/~jnz1568/getInfo.php?workbook=14_06.xlsx&amp;sheet=U0&amp;row=3314&amp;col=6&amp;number=4&amp;sourceID=14","4")</f>
        <v>4</v>
      </c>
      <c r="G3314" s="4" t="str">
        <f>HYPERLINK("http://141.218.60.56/~jnz1568/getInfo.php?workbook=14_06.xlsx&amp;sheet=U0&amp;row=3314&amp;col=7&amp;number=0.0755&amp;sourceID=14","0.0755")</f>
        <v>0.0755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HYPERLINK("http://141.218.60.56/~jnz1568/getInfo.php?workbook=14_06.xlsx&amp;sheet=U0&amp;row=3315&amp;col=6&amp;number=4.1&amp;sourceID=14","4.1")</f>
        <v>4.1</v>
      </c>
      <c r="G3315" s="4" t="str">
        <f>HYPERLINK("http://141.218.60.56/~jnz1568/getInfo.php?workbook=14_06.xlsx&amp;sheet=U0&amp;row=3315&amp;col=7&amp;number=0.0754&amp;sourceID=14","0.0754")</f>
        <v>0.0754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HYPERLINK("http://141.218.60.56/~jnz1568/getInfo.php?workbook=14_06.xlsx&amp;sheet=U0&amp;row=3316&amp;col=6&amp;number=4.2&amp;sourceID=14","4.2")</f>
        <v>4.2</v>
      </c>
      <c r="G3316" s="4" t="str">
        <f>HYPERLINK("http://141.218.60.56/~jnz1568/getInfo.php?workbook=14_06.xlsx&amp;sheet=U0&amp;row=3316&amp;col=7&amp;number=0.0753&amp;sourceID=14","0.0753")</f>
        <v>0.0753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HYPERLINK("http://141.218.60.56/~jnz1568/getInfo.php?workbook=14_06.xlsx&amp;sheet=U0&amp;row=3317&amp;col=6&amp;number=4.3&amp;sourceID=14","4.3")</f>
        <v>4.3</v>
      </c>
      <c r="G3317" s="4" t="str">
        <f>HYPERLINK("http://141.218.60.56/~jnz1568/getInfo.php?workbook=14_06.xlsx&amp;sheet=U0&amp;row=3317&amp;col=7&amp;number=0.0752&amp;sourceID=14","0.0752")</f>
        <v>0.0752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HYPERLINK("http://141.218.60.56/~jnz1568/getInfo.php?workbook=14_06.xlsx&amp;sheet=U0&amp;row=3318&amp;col=6&amp;number=4.4&amp;sourceID=14","4.4")</f>
        <v>4.4</v>
      </c>
      <c r="G3318" s="4" t="str">
        <f>HYPERLINK("http://141.218.60.56/~jnz1568/getInfo.php?workbook=14_06.xlsx&amp;sheet=U0&amp;row=3318&amp;col=7&amp;number=0.075&amp;sourceID=14","0.075")</f>
        <v>0.075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HYPERLINK("http://141.218.60.56/~jnz1568/getInfo.php?workbook=14_06.xlsx&amp;sheet=U0&amp;row=3319&amp;col=6&amp;number=4.5&amp;sourceID=14","4.5")</f>
        <v>4.5</v>
      </c>
      <c r="G3319" s="4" t="str">
        <f>HYPERLINK("http://141.218.60.56/~jnz1568/getInfo.php?workbook=14_06.xlsx&amp;sheet=U0&amp;row=3319&amp;col=7&amp;number=0.0748&amp;sourceID=14","0.0748")</f>
        <v>0.0748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HYPERLINK("http://141.218.60.56/~jnz1568/getInfo.php?workbook=14_06.xlsx&amp;sheet=U0&amp;row=3320&amp;col=6&amp;number=4.6&amp;sourceID=14","4.6")</f>
        <v>4.6</v>
      </c>
      <c r="G3320" s="4" t="str">
        <f>HYPERLINK("http://141.218.60.56/~jnz1568/getInfo.php?workbook=14_06.xlsx&amp;sheet=U0&amp;row=3320&amp;col=7&amp;number=0.0746&amp;sourceID=14","0.0746")</f>
        <v>0.0746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HYPERLINK("http://141.218.60.56/~jnz1568/getInfo.php?workbook=14_06.xlsx&amp;sheet=U0&amp;row=3321&amp;col=6&amp;number=4.7&amp;sourceID=14","4.7")</f>
        <v>4.7</v>
      </c>
      <c r="G3321" s="4" t="str">
        <f>HYPERLINK("http://141.218.60.56/~jnz1568/getInfo.php?workbook=14_06.xlsx&amp;sheet=U0&amp;row=3321&amp;col=7&amp;number=0.0743&amp;sourceID=14","0.0743")</f>
        <v>0.0743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HYPERLINK("http://141.218.60.56/~jnz1568/getInfo.php?workbook=14_06.xlsx&amp;sheet=U0&amp;row=3322&amp;col=6&amp;number=4.8&amp;sourceID=14","4.8")</f>
        <v>4.8</v>
      </c>
      <c r="G3322" s="4" t="str">
        <f>HYPERLINK("http://141.218.60.56/~jnz1568/getInfo.php?workbook=14_06.xlsx&amp;sheet=U0&amp;row=3322&amp;col=7&amp;number=0.0739&amp;sourceID=14","0.0739")</f>
        <v>0.0739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HYPERLINK("http://141.218.60.56/~jnz1568/getInfo.php?workbook=14_06.xlsx&amp;sheet=U0&amp;row=3323&amp;col=6&amp;number=4.9&amp;sourceID=14","4.9")</f>
        <v>4.9</v>
      </c>
      <c r="G3323" s="4" t="str">
        <f>HYPERLINK("http://141.218.60.56/~jnz1568/getInfo.php?workbook=14_06.xlsx&amp;sheet=U0&amp;row=3323&amp;col=7&amp;number=0.0735&amp;sourceID=14","0.0735")</f>
        <v>0.0735</v>
      </c>
    </row>
    <row r="3324" spans="1:7">
      <c r="A3324" s="3">
        <v>14</v>
      </c>
      <c r="B3324" s="3">
        <v>6</v>
      </c>
      <c r="C3324" s="3">
        <v>4</v>
      </c>
      <c r="D3324" s="3">
        <v>39</v>
      </c>
      <c r="E3324" s="3">
        <v>1</v>
      </c>
      <c r="F3324" s="4" t="str">
        <f>HYPERLINK("http://141.218.60.56/~jnz1568/getInfo.php?workbook=14_06.xlsx&amp;sheet=U0&amp;row=3324&amp;col=6&amp;number=3&amp;sourceID=14","3")</f>
        <v>3</v>
      </c>
      <c r="G3324" s="4" t="str">
        <f>HYPERLINK("http://141.218.60.56/~jnz1568/getInfo.php?workbook=14_06.xlsx&amp;sheet=U0&amp;row=3324&amp;col=7&amp;number=0.0168&amp;sourceID=14","0.0168")</f>
        <v>0.0168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HYPERLINK("http://141.218.60.56/~jnz1568/getInfo.php?workbook=14_06.xlsx&amp;sheet=U0&amp;row=3325&amp;col=6&amp;number=3.1&amp;sourceID=14","3.1")</f>
        <v>3.1</v>
      </c>
      <c r="G3325" s="4" t="str">
        <f>HYPERLINK("http://141.218.60.56/~jnz1568/getInfo.php?workbook=14_06.xlsx&amp;sheet=U0&amp;row=3325&amp;col=7&amp;number=0.0168&amp;sourceID=14","0.0168")</f>
        <v>0.0168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HYPERLINK("http://141.218.60.56/~jnz1568/getInfo.php?workbook=14_06.xlsx&amp;sheet=U0&amp;row=3326&amp;col=6&amp;number=3.2&amp;sourceID=14","3.2")</f>
        <v>3.2</v>
      </c>
      <c r="G3326" s="4" t="str">
        <f>HYPERLINK("http://141.218.60.56/~jnz1568/getInfo.php?workbook=14_06.xlsx&amp;sheet=U0&amp;row=3326&amp;col=7&amp;number=0.0168&amp;sourceID=14","0.0168")</f>
        <v>0.0168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HYPERLINK("http://141.218.60.56/~jnz1568/getInfo.php?workbook=14_06.xlsx&amp;sheet=U0&amp;row=3327&amp;col=6&amp;number=3.3&amp;sourceID=14","3.3")</f>
        <v>3.3</v>
      </c>
      <c r="G3327" s="4" t="str">
        <f>HYPERLINK("http://141.218.60.56/~jnz1568/getInfo.php?workbook=14_06.xlsx&amp;sheet=U0&amp;row=3327&amp;col=7&amp;number=0.0168&amp;sourceID=14","0.0168")</f>
        <v>0.0168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HYPERLINK("http://141.218.60.56/~jnz1568/getInfo.php?workbook=14_06.xlsx&amp;sheet=U0&amp;row=3328&amp;col=6&amp;number=3.4&amp;sourceID=14","3.4")</f>
        <v>3.4</v>
      </c>
      <c r="G3328" s="4" t="str">
        <f>HYPERLINK("http://141.218.60.56/~jnz1568/getInfo.php?workbook=14_06.xlsx&amp;sheet=U0&amp;row=3328&amp;col=7&amp;number=0.0168&amp;sourceID=14","0.0168")</f>
        <v>0.0168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HYPERLINK("http://141.218.60.56/~jnz1568/getInfo.php?workbook=14_06.xlsx&amp;sheet=U0&amp;row=3329&amp;col=6&amp;number=3.5&amp;sourceID=14","3.5")</f>
        <v>3.5</v>
      </c>
      <c r="G3329" s="4" t="str">
        <f>HYPERLINK("http://141.218.60.56/~jnz1568/getInfo.php?workbook=14_06.xlsx&amp;sheet=U0&amp;row=3329&amp;col=7&amp;number=0.0168&amp;sourceID=14","0.0168")</f>
        <v>0.0168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HYPERLINK("http://141.218.60.56/~jnz1568/getInfo.php?workbook=14_06.xlsx&amp;sheet=U0&amp;row=3330&amp;col=6&amp;number=3.6&amp;sourceID=14","3.6")</f>
        <v>3.6</v>
      </c>
      <c r="G3330" s="4" t="str">
        <f>HYPERLINK("http://141.218.60.56/~jnz1568/getInfo.php?workbook=14_06.xlsx&amp;sheet=U0&amp;row=3330&amp;col=7&amp;number=0.0168&amp;sourceID=14","0.0168")</f>
        <v>0.0168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HYPERLINK("http://141.218.60.56/~jnz1568/getInfo.php?workbook=14_06.xlsx&amp;sheet=U0&amp;row=3331&amp;col=6&amp;number=3.7&amp;sourceID=14","3.7")</f>
        <v>3.7</v>
      </c>
      <c r="G3331" s="4" t="str">
        <f>HYPERLINK("http://141.218.60.56/~jnz1568/getInfo.php?workbook=14_06.xlsx&amp;sheet=U0&amp;row=3331&amp;col=7&amp;number=0.0168&amp;sourceID=14","0.0168")</f>
        <v>0.0168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HYPERLINK("http://141.218.60.56/~jnz1568/getInfo.php?workbook=14_06.xlsx&amp;sheet=U0&amp;row=3332&amp;col=6&amp;number=3.8&amp;sourceID=14","3.8")</f>
        <v>3.8</v>
      </c>
      <c r="G3332" s="4" t="str">
        <f>HYPERLINK("http://141.218.60.56/~jnz1568/getInfo.php?workbook=14_06.xlsx&amp;sheet=U0&amp;row=3332&amp;col=7&amp;number=0.0168&amp;sourceID=14","0.0168")</f>
        <v>0.0168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HYPERLINK("http://141.218.60.56/~jnz1568/getInfo.php?workbook=14_06.xlsx&amp;sheet=U0&amp;row=3333&amp;col=6&amp;number=3.9&amp;sourceID=14","3.9")</f>
        <v>3.9</v>
      </c>
      <c r="G3333" s="4" t="str">
        <f>HYPERLINK("http://141.218.60.56/~jnz1568/getInfo.php?workbook=14_06.xlsx&amp;sheet=U0&amp;row=3333&amp;col=7&amp;number=0.0168&amp;sourceID=14","0.0168")</f>
        <v>0.0168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HYPERLINK("http://141.218.60.56/~jnz1568/getInfo.php?workbook=14_06.xlsx&amp;sheet=U0&amp;row=3334&amp;col=6&amp;number=4&amp;sourceID=14","4")</f>
        <v>4</v>
      </c>
      <c r="G3334" s="4" t="str">
        <f>HYPERLINK("http://141.218.60.56/~jnz1568/getInfo.php?workbook=14_06.xlsx&amp;sheet=U0&amp;row=3334&amp;col=7&amp;number=0.0168&amp;sourceID=14","0.0168")</f>
        <v>0.0168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HYPERLINK("http://141.218.60.56/~jnz1568/getInfo.php?workbook=14_06.xlsx&amp;sheet=U0&amp;row=3335&amp;col=6&amp;number=4.1&amp;sourceID=14","4.1")</f>
        <v>4.1</v>
      </c>
      <c r="G3335" s="4" t="str">
        <f>HYPERLINK("http://141.218.60.56/~jnz1568/getInfo.php?workbook=14_06.xlsx&amp;sheet=U0&amp;row=3335&amp;col=7&amp;number=0.0167&amp;sourceID=14","0.0167")</f>
        <v>0.0167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HYPERLINK("http://141.218.60.56/~jnz1568/getInfo.php?workbook=14_06.xlsx&amp;sheet=U0&amp;row=3336&amp;col=6&amp;number=4.2&amp;sourceID=14","4.2")</f>
        <v>4.2</v>
      </c>
      <c r="G3336" s="4" t="str">
        <f>HYPERLINK("http://141.218.60.56/~jnz1568/getInfo.php?workbook=14_06.xlsx&amp;sheet=U0&amp;row=3336&amp;col=7&amp;number=0.0167&amp;sourceID=14","0.0167")</f>
        <v>0.0167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HYPERLINK("http://141.218.60.56/~jnz1568/getInfo.php?workbook=14_06.xlsx&amp;sheet=U0&amp;row=3337&amp;col=6&amp;number=4.3&amp;sourceID=14","4.3")</f>
        <v>4.3</v>
      </c>
      <c r="G3337" s="4" t="str">
        <f>HYPERLINK("http://141.218.60.56/~jnz1568/getInfo.php?workbook=14_06.xlsx&amp;sheet=U0&amp;row=3337&amp;col=7&amp;number=0.0167&amp;sourceID=14","0.0167")</f>
        <v>0.0167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HYPERLINK("http://141.218.60.56/~jnz1568/getInfo.php?workbook=14_06.xlsx&amp;sheet=U0&amp;row=3338&amp;col=6&amp;number=4.4&amp;sourceID=14","4.4")</f>
        <v>4.4</v>
      </c>
      <c r="G3338" s="4" t="str">
        <f>HYPERLINK("http://141.218.60.56/~jnz1568/getInfo.php?workbook=14_06.xlsx&amp;sheet=U0&amp;row=3338&amp;col=7&amp;number=0.0167&amp;sourceID=14","0.0167")</f>
        <v>0.0167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HYPERLINK("http://141.218.60.56/~jnz1568/getInfo.php?workbook=14_06.xlsx&amp;sheet=U0&amp;row=3339&amp;col=6&amp;number=4.5&amp;sourceID=14","4.5")</f>
        <v>4.5</v>
      </c>
      <c r="G3339" s="4" t="str">
        <f>HYPERLINK("http://141.218.60.56/~jnz1568/getInfo.php?workbook=14_06.xlsx&amp;sheet=U0&amp;row=3339&amp;col=7&amp;number=0.0166&amp;sourceID=14","0.0166")</f>
        <v>0.0166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HYPERLINK("http://141.218.60.56/~jnz1568/getInfo.php?workbook=14_06.xlsx&amp;sheet=U0&amp;row=3340&amp;col=6&amp;number=4.6&amp;sourceID=14","4.6")</f>
        <v>4.6</v>
      </c>
      <c r="G3340" s="4" t="str">
        <f>HYPERLINK("http://141.218.60.56/~jnz1568/getInfo.php?workbook=14_06.xlsx&amp;sheet=U0&amp;row=3340&amp;col=7&amp;number=0.0166&amp;sourceID=14","0.0166")</f>
        <v>0.0166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HYPERLINK("http://141.218.60.56/~jnz1568/getInfo.php?workbook=14_06.xlsx&amp;sheet=U0&amp;row=3341&amp;col=6&amp;number=4.7&amp;sourceID=14","4.7")</f>
        <v>4.7</v>
      </c>
      <c r="G3341" s="4" t="str">
        <f>HYPERLINK("http://141.218.60.56/~jnz1568/getInfo.php?workbook=14_06.xlsx&amp;sheet=U0&amp;row=3341&amp;col=7&amp;number=0.0165&amp;sourceID=14","0.0165")</f>
        <v>0.0165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HYPERLINK("http://141.218.60.56/~jnz1568/getInfo.php?workbook=14_06.xlsx&amp;sheet=U0&amp;row=3342&amp;col=6&amp;number=4.8&amp;sourceID=14","4.8")</f>
        <v>4.8</v>
      </c>
      <c r="G3342" s="4" t="str">
        <f>HYPERLINK("http://141.218.60.56/~jnz1568/getInfo.php?workbook=14_06.xlsx&amp;sheet=U0&amp;row=3342&amp;col=7&amp;number=0.0164&amp;sourceID=14","0.0164")</f>
        <v>0.0164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HYPERLINK("http://141.218.60.56/~jnz1568/getInfo.php?workbook=14_06.xlsx&amp;sheet=U0&amp;row=3343&amp;col=6&amp;number=4.9&amp;sourceID=14","4.9")</f>
        <v>4.9</v>
      </c>
      <c r="G3343" s="4" t="str">
        <f>HYPERLINK("http://141.218.60.56/~jnz1568/getInfo.php?workbook=14_06.xlsx&amp;sheet=U0&amp;row=3343&amp;col=7&amp;number=0.0163&amp;sourceID=14","0.0163")</f>
        <v>0.0163</v>
      </c>
    </row>
    <row r="3344" spans="1:7">
      <c r="A3344" s="3">
        <v>14</v>
      </c>
      <c r="B3344" s="3">
        <v>6</v>
      </c>
      <c r="C3344" s="3">
        <v>4</v>
      </c>
      <c r="D3344" s="3">
        <v>40</v>
      </c>
      <c r="E3344" s="3">
        <v>1</v>
      </c>
      <c r="F3344" s="4" t="str">
        <f>HYPERLINK("http://141.218.60.56/~jnz1568/getInfo.php?workbook=14_06.xlsx&amp;sheet=U0&amp;row=3344&amp;col=6&amp;number=3&amp;sourceID=14","3")</f>
        <v>3</v>
      </c>
      <c r="G3344" s="4" t="str">
        <f>HYPERLINK("http://141.218.60.56/~jnz1568/getInfo.php?workbook=14_06.xlsx&amp;sheet=U0&amp;row=3344&amp;col=7&amp;number=0.0293&amp;sourceID=14","0.0293")</f>
        <v>0.0293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HYPERLINK("http://141.218.60.56/~jnz1568/getInfo.php?workbook=14_06.xlsx&amp;sheet=U0&amp;row=3345&amp;col=6&amp;number=3.1&amp;sourceID=14","3.1")</f>
        <v>3.1</v>
      </c>
      <c r="G3345" s="4" t="str">
        <f>HYPERLINK("http://141.218.60.56/~jnz1568/getInfo.php?workbook=14_06.xlsx&amp;sheet=U0&amp;row=3345&amp;col=7&amp;number=0.0293&amp;sourceID=14","0.0293")</f>
        <v>0.0293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HYPERLINK("http://141.218.60.56/~jnz1568/getInfo.php?workbook=14_06.xlsx&amp;sheet=U0&amp;row=3346&amp;col=6&amp;number=3.2&amp;sourceID=14","3.2")</f>
        <v>3.2</v>
      </c>
      <c r="G3346" s="4" t="str">
        <f>HYPERLINK("http://141.218.60.56/~jnz1568/getInfo.php?workbook=14_06.xlsx&amp;sheet=U0&amp;row=3346&amp;col=7&amp;number=0.0293&amp;sourceID=14","0.0293")</f>
        <v>0.0293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HYPERLINK("http://141.218.60.56/~jnz1568/getInfo.php?workbook=14_06.xlsx&amp;sheet=U0&amp;row=3347&amp;col=6&amp;number=3.3&amp;sourceID=14","3.3")</f>
        <v>3.3</v>
      </c>
      <c r="G3347" s="4" t="str">
        <f>HYPERLINK("http://141.218.60.56/~jnz1568/getInfo.php?workbook=14_06.xlsx&amp;sheet=U0&amp;row=3347&amp;col=7&amp;number=0.0293&amp;sourceID=14","0.0293")</f>
        <v>0.0293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HYPERLINK("http://141.218.60.56/~jnz1568/getInfo.php?workbook=14_06.xlsx&amp;sheet=U0&amp;row=3348&amp;col=6&amp;number=3.4&amp;sourceID=14","3.4")</f>
        <v>3.4</v>
      </c>
      <c r="G3348" s="4" t="str">
        <f>HYPERLINK("http://141.218.60.56/~jnz1568/getInfo.php?workbook=14_06.xlsx&amp;sheet=U0&amp;row=3348&amp;col=7&amp;number=0.0293&amp;sourceID=14","0.0293")</f>
        <v>0.0293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HYPERLINK("http://141.218.60.56/~jnz1568/getInfo.php?workbook=14_06.xlsx&amp;sheet=U0&amp;row=3349&amp;col=6&amp;number=3.5&amp;sourceID=14","3.5")</f>
        <v>3.5</v>
      </c>
      <c r="G3349" s="4" t="str">
        <f>HYPERLINK("http://141.218.60.56/~jnz1568/getInfo.php?workbook=14_06.xlsx&amp;sheet=U0&amp;row=3349&amp;col=7&amp;number=0.0293&amp;sourceID=14","0.0293")</f>
        <v>0.0293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HYPERLINK("http://141.218.60.56/~jnz1568/getInfo.php?workbook=14_06.xlsx&amp;sheet=U0&amp;row=3350&amp;col=6&amp;number=3.6&amp;sourceID=14","3.6")</f>
        <v>3.6</v>
      </c>
      <c r="G3350" s="4" t="str">
        <f>HYPERLINK("http://141.218.60.56/~jnz1568/getInfo.php?workbook=14_06.xlsx&amp;sheet=U0&amp;row=3350&amp;col=7&amp;number=0.0293&amp;sourceID=14","0.0293")</f>
        <v>0.0293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HYPERLINK("http://141.218.60.56/~jnz1568/getInfo.php?workbook=14_06.xlsx&amp;sheet=U0&amp;row=3351&amp;col=6&amp;number=3.7&amp;sourceID=14","3.7")</f>
        <v>3.7</v>
      </c>
      <c r="G3351" s="4" t="str">
        <f>HYPERLINK("http://141.218.60.56/~jnz1568/getInfo.php?workbook=14_06.xlsx&amp;sheet=U0&amp;row=3351&amp;col=7&amp;number=0.0293&amp;sourceID=14","0.0293")</f>
        <v>0.0293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HYPERLINK("http://141.218.60.56/~jnz1568/getInfo.php?workbook=14_06.xlsx&amp;sheet=U0&amp;row=3352&amp;col=6&amp;number=3.8&amp;sourceID=14","3.8")</f>
        <v>3.8</v>
      </c>
      <c r="G3352" s="4" t="str">
        <f>HYPERLINK("http://141.218.60.56/~jnz1568/getInfo.php?workbook=14_06.xlsx&amp;sheet=U0&amp;row=3352&amp;col=7&amp;number=0.0293&amp;sourceID=14","0.0293")</f>
        <v>0.0293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HYPERLINK("http://141.218.60.56/~jnz1568/getInfo.php?workbook=14_06.xlsx&amp;sheet=U0&amp;row=3353&amp;col=6&amp;number=3.9&amp;sourceID=14","3.9")</f>
        <v>3.9</v>
      </c>
      <c r="G3353" s="4" t="str">
        <f>HYPERLINK("http://141.218.60.56/~jnz1568/getInfo.php?workbook=14_06.xlsx&amp;sheet=U0&amp;row=3353&amp;col=7&amp;number=0.0292&amp;sourceID=14","0.0292")</f>
        <v>0.0292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HYPERLINK("http://141.218.60.56/~jnz1568/getInfo.php?workbook=14_06.xlsx&amp;sheet=U0&amp;row=3354&amp;col=6&amp;number=4&amp;sourceID=14","4")</f>
        <v>4</v>
      </c>
      <c r="G3354" s="4" t="str">
        <f>HYPERLINK("http://141.218.60.56/~jnz1568/getInfo.php?workbook=14_06.xlsx&amp;sheet=U0&amp;row=3354&amp;col=7&amp;number=0.0292&amp;sourceID=14","0.0292")</f>
        <v>0.0292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HYPERLINK("http://141.218.60.56/~jnz1568/getInfo.php?workbook=14_06.xlsx&amp;sheet=U0&amp;row=3355&amp;col=6&amp;number=4.1&amp;sourceID=14","4.1")</f>
        <v>4.1</v>
      </c>
      <c r="G3355" s="4" t="str">
        <f>HYPERLINK("http://141.218.60.56/~jnz1568/getInfo.php?workbook=14_06.xlsx&amp;sheet=U0&amp;row=3355&amp;col=7&amp;number=0.0292&amp;sourceID=14","0.0292")</f>
        <v>0.0292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HYPERLINK("http://141.218.60.56/~jnz1568/getInfo.php?workbook=14_06.xlsx&amp;sheet=U0&amp;row=3356&amp;col=6&amp;number=4.2&amp;sourceID=14","4.2")</f>
        <v>4.2</v>
      </c>
      <c r="G3356" s="4" t="str">
        <f>HYPERLINK("http://141.218.60.56/~jnz1568/getInfo.php?workbook=14_06.xlsx&amp;sheet=U0&amp;row=3356&amp;col=7&amp;number=0.0292&amp;sourceID=14","0.0292")</f>
        <v>0.0292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HYPERLINK("http://141.218.60.56/~jnz1568/getInfo.php?workbook=14_06.xlsx&amp;sheet=U0&amp;row=3357&amp;col=6&amp;number=4.3&amp;sourceID=14","4.3")</f>
        <v>4.3</v>
      </c>
      <c r="G3357" s="4" t="str">
        <f>HYPERLINK("http://141.218.60.56/~jnz1568/getInfo.php?workbook=14_06.xlsx&amp;sheet=U0&amp;row=3357&amp;col=7&amp;number=0.0291&amp;sourceID=14","0.0291")</f>
        <v>0.0291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HYPERLINK("http://141.218.60.56/~jnz1568/getInfo.php?workbook=14_06.xlsx&amp;sheet=U0&amp;row=3358&amp;col=6&amp;number=4.4&amp;sourceID=14","4.4")</f>
        <v>4.4</v>
      </c>
      <c r="G3358" s="4" t="str">
        <f>HYPERLINK("http://141.218.60.56/~jnz1568/getInfo.php?workbook=14_06.xlsx&amp;sheet=U0&amp;row=3358&amp;col=7&amp;number=0.0291&amp;sourceID=14","0.0291")</f>
        <v>0.0291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HYPERLINK("http://141.218.60.56/~jnz1568/getInfo.php?workbook=14_06.xlsx&amp;sheet=U0&amp;row=3359&amp;col=6&amp;number=4.5&amp;sourceID=14","4.5")</f>
        <v>4.5</v>
      </c>
      <c r="G3359" s="4" t="str">
        <f>HYPERLINK("http://141.218.60.56/~jnz1568/getInfo.php?workbook=14_06.xlsx&amp;sheet=U0&amp;row=3359&amp;col=7&amp;number=0.029&amp;sourceID=14","0.029")</f>
        <v>0.029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HYPERLINK("http://141.218.60.56/~jnz1568/getInfo.php?workbook=14_06.xlsx&amp;sheet=U0&amp;row=3360&amp;col=6&amp;number=4.6&amp;sourceID=14","4.6")</f>
        <v>4.6</v>
      </c>
      <c r="G3360" s="4" t="str">
        <f>HYPERLINK("http://141.218.60.56/~jnz1568/getInfo.php?workbook=14_06.xlsx&amp;sheet=U0&amp;row=3360&amp;col=7&amp;number=0.0289&amp;sourceID=14","0.0289")</f>
        <v>0.0289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HYPERLINK("http://141.218.60.56/~jnz1568/getInfo.php?workbook=14_06.xlsx&amp;sheet=U0&amp;row=3361&amp;col=6&amp;number=4.7&amp;sourceID=14","4.7")</f>
        <v>4.7</v>
      </c>
      <c r="G3361" s="4" t="str">
        <f>HYPERLINK("http://141.218.60.56/~jnz1568/getInfo.php?workbook=14_06.xlsx&amp;sheet=U0&amp;row=3361&amp;col=7&amp;number=0.0288&amp;sourceID=14","0.0288")</f>
        <v>0.0288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HYPERLINK("http://141.218.60.56/~jnz1568/getInfo.php?workbook=14_06.xlsx&amp;sheet=U0&amp;row=3362&amp;col=6&amp;number=4.8&amp;sourceID=14","4.8")</f>
        <v>4.8</v>
      </c>
      <c r="G3362" s="4" t="str">
        <f>HYPERLINK("http://141.218.60.56/~jnz1568/getInfo.php?workbook=14_06.xlsx&amp;sheet=U0&amp;row=3362&amp;col=7&amp;number=0.0287&amp;sourceID=14","0.0287")</f>
        <v>0.0287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HYPERLINK("http://141.218.60.56/~jnz1568/getInfo.php?workbook=14_06.xlsx&amp;sheet=U0&amp;row=3363&amp;col=6&amp;number=4.9&amp;sourceID=14","4.9")</f>
        <v>4.9</v>
      </c>
      <c r="G3363" s="4" t="str">
        <f>HYPERLINK("http://141.218.60.56/~jnz1568/getInfo.php?workbook=14_06.xlsx&amp;sheet=U0&amp;row=3363&amp;col=7&amp;number=0.0285&amp;sourceID=14","0.0285")</f>
        <v>0.0285</v>
      </c>
    </row>
    <row r="3364" spans="1:7">
      <c r="A3364" s="3">
        <v>14</v>
      </c>
      <c r="B3364" s="3">
        <v>6</v>
      </c>
      <c r="C3364" s="3">
        <v>4</v>
      </c>
      <c r="D3364" s="3">
        <v>41</v>
      </c>
      <c r="E3364" s="3">
        <v>1</v>
      </c>
      <c r="F3364" s="4" t="str">
        <f>HYPERLINK("http://141.218.60.56/~jnz1568/getInfo.php?workbook=14_06.xlsx&amp;sheet=U0&amp;row=3364&amp;col=6&amp;number=3&amp;sourceID=14","3")</f>
        <v>3</v>
      </c>
      <c r="G3364" s="4" t="str">
        <f>HYPERLINK("http://141.218.60.56/~jnz1568/getInfo.php?workbook=14_06.xlsx&amp;sheet=U0&amp;row=3364&amp;col=7&amp;number=0.0428&amp;sourceID=14","0.0428")</f>
        <v>0.0428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HYPERLINK("http://141.218.60.56/~jnz1568/getInfo.php?workbook=14_06.xlsx&amp;sheet=U0&amp;row=3365&amp;col=6&amp;number=3.1&amp;sourceID=14","3.1")</f>
        <v>3.1</v>
      </c>
      <c r="G3365" s="4" t="str">
        <f>HYPERLINK("http://141.218.60.56/~jnz1568/getInfo.php?workbook=14_06.xlsx&amp;sheet=U0&amp;row=3365&amp;col=7&amp;number=0.0428&amp;sourceID=14","0.0428")</f>
        <v>0.0428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HYPERLINK("http://141.218.60.56/~jnz1568/getInfo.php?workbook=14_06.xlsx&amp;sheet=U0&amp;row=3366&amp;col=6&amp;number=3.2&amp;sourceID=14","3.2")</f>
        <v>3.2</v>
      </c>
      <c r="G3366" s="4" t="str">
        <f>HYPERLINK("http://141.218.60.56/~jnz1568/getInfo.php?workbook=14_06.xlsx&amp;sheet=U0&amp;row=3366&amp;col=7&amp;number=0.0428&amp;sourceID=14","0.0428")</f>
        <v>0.0428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HYPERLINK("http://141.218.60.56/~jnz1568/getInfo.php?workbook=14_06.xlsx&amp;sheet=U0&amp;row=3367&amp;col=6&amp;number=3.3&amp;sourceID=14","3.3")</f>
        <v>3.3</v>
      </c>
      <c r="G3367" s="4" t="str">
        <f>HYPERLINK("http://141.218.60.56/~jnz1568/getInfo.php?workbook=14_06.xlsx&amp;sheet=U0&amp;row=3367&amp;col=7&amp;number=0.0428&amp;sourceID=14","0.0428")</f>
        <v>0.0428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HYPERLINK("http://141.218.60.56/~jnz1568/getInfo.php?workbook=14_06.xlsx&amp;sheet=U0&amp;row=3368&amp;col=6&amp;number=3.4&amp;sourceID=14","3.4")</f>
        <v>3.4</v>
      </c>
      <c r="G3368" s="4" t="str">
        <f>HYPERLINK("http://141.218.60.56/~jnz1568/getInfo.php?workbook=14_06.xlsx&amp;sheet=U0&amp;row=3368&amp;col=7&amp;number=0.0428&amp;sourceID=14","0.0428")</f>
        <v>0.0428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HYPERLINK("http://141.218.60.56/~jnz1568/getInfo.php?workbook=14_06.xlsx&amp;sheet=U0&amp;row=3369&amp;col=6&amp;number=3.5&amp;sourceID=14","3.5")</f>
        <v>3.5</v>
      </c>
      <c r="G3369" s="4" t="str">
        <f>HYPERLINK("http://141.218.60.56/~jnz1568/getInfo.php?workbook=14_06.xlsx&amp;sheet=U0&amp;row=3369&amp;col=7&amp;number=0.0428&amp;sourceID=14","0.0428")</f>
        <v>0.0428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HYPERLINK("http://141.218.60.56/~jnz1568/getInfo.php?workbook=14_06.xlsx&amp;sheet=U0&amp;row=3370&amp;col=6&amp;number=3.6&amp;sourceID=14","3.6")</f>
        <v>3.6</v>
      </c>
      <c r="G3370" s="4" t="str">
        <f>HYPERLINK("http://141.218.60.56/~jnz1568/getInfo.php?workbook=14_06.xlsx&amp;sheet=U0&amp;row=3370&amp;col=7&amp;number=0.0428&amp;sourceID=14","0.0428")</f>
        <v>0.0428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HYPERLINK("http://141.218.60.56/~jnz1568/getInfo.php?workbook=14_06.xlsx&amp;sheet=U0&amp;row=3371&amp;col=6&amp;number=3.7&amp;sourceID=14","3.7")</f>
        <v>3.7</v>
      </c>
      <c r="G3371" s="4" t="str">
        <f>HYPERLINK("http://141.218.60.56/~jnz1568/getInfo.php?workbook=14_06.xlsx&amp;sheet=U0&amp;row=3371&amp;col=7&amp;number=0.0427&amp;sourceID=14","0.0427")</f>
        <v>0.0427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HYPERLINK("http://141.218.60.56/~jnz1568/getInfo.php?workbook=14_06.xlsx&amp;sheet=U0&amp;row=3372&amp;col=6&amp;number=3.8&amp;sourceID=14","3.8")</f>
        <v>3.8</v>
      </c>
      <c r="G3372" s="4" t="str">
        <f>HYPERLINK("http://141.218.60.56/~jnz1568/getInfo.php?workbook=14_06.xlsx&amp;sheet=U0&amp;row=3372&amp;col=7&amp;number=0.0427&amp;sourceID=14","0.0427")</f>
        <v>0.0427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HYPERLINK("http://141.218.60.56/~jnz1568/getInfo.php?workbook=14_06.xlsx&amp;sheet=U0&amp;row=3373&amp;col=6&amp;number=3.9&amp;sourceID=14","3.9")</f>
        <v>3.9</v>
      </c>
      <c r="G3373" s="4" t="str">
        <f>HYPERLINK("http://141.218.60.56/~jnz1568/getInfo.php?workbook=14_06.xlsx&amp;sheet=U0&amp;row=3373&amp;col=7&amp;number=0.0427&amp;sourceID=14","0.0427")</f>
        <v>0.0427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HYPERLINK("http://141.218.60.56/~jnz1568/getInfo.php?workbook=14_06.xlsx&amp;sheet=U0&amp;row=3374&amp;col=6&amp;number=4&amp;sourceID=14","4")</f>
        <v>4</v>
      </c>
      <c r="G3374" s="4" t="str">
        <f>HYPERLINK("http://141.218.60.56/~jnz1568/getInfo.php?workbook=14_06.xlsx&amp;sheet=U0&amp;row=3374&amp;col=7&amp;number=0.0427&amp;sourceID=14","0.0427")</f>
        <v>0.0427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HYPERLINK("http://141.218.60.56/~jnz1568/getInfo.php?workbook=14_06.xlsx&amp;sheet=U0&amp;row=3375&amp;col=6&amp;number=4.1&amp;sourceID=14","4.1")</f>
        <v>4.1</v>
      </c>
      <c r="G3375" s="4" t="str">
        <f>HYPERLINK("http://141.218.60.56/~jnz1568/getInfo.php?workbook=14_06.xlsx&amp;sheet=U0&amp;row=3375&amp;col=7&amp;number=0.0426&amp;sourceID=14","0.0426")</f>
        <v>0.0426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HYPERLINK("http://141.218.60.56/~jnz1568/getInfo.php?workbook=14_06.xlsx&amp;sheet=U0&amp;row=3376&amp;col=6&amp;number=4.2&amp;sourceID=14","4.2")</f>
        <v>4.2</v>
      </c>
      <c r="G3376" s="4" t="str">
        <f>HYPERLINK("http://141.218.60.56/~jnz1568/getInfo.php?workbook=14_06.xlsx&amp;sheet=U0&amp;row=3376&amp;col=7&amp;number=0.0425&amp;sourceID=14","0.0425")</f>
        <v>0.0425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HYPERLINK("http://141.218.60.56/~jnz1568/getInfo.php?workbook=14_06.xlsx&amp;sheet=U0&amp;row=3377&amp;col=6&amp;number=4.3&amp;sourceID=14","4.3")</f>
        <v>4.3</v>
      </c>
      <c r="G3377" s="4" t="str">
        <f>HYPERLINK("http://141.218.60.56/~jnz1568/getInfo.php?workbook=14_06.xlsx&amp;sheet=U0&amp;row=3377&amp;col=7&amp;number=0.0425&amp;sourceID=14","0.0425")</f>
        <v>0.0425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HYPERLINK("http://141.218.60.56/~jnz1568/getInfo.php?workbook=14_06.xlsx&amp;sheet=U0&amp;row=3378&amp;col=6&amp;number=4.4&amp;sourceID=14","4.4")</f>
        <v>4.4</v>
      </c>
      <c r="G3378" s="4" t="str">
        <f>HYPERLINK("http://141.218.60.56/~jnz1568/getInfo.php?workbook=14_06.xlsx&amp;sheet=U0&amp;row=3378&amp;col=7&amp;number=0.0424&amp;sourceID=14","0.0424")</f>
        <v>0.0424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HYPERLINK("http://141.218.60.56/~jnz1568/getInfo.php?workbook=14_06.xlsx&amp;sheet=U0&amp;row=3379&amp;col=6&amp;number=4.5&amp;sourceID=14","4.5")</f>
        <v>4.5</v>
      </c>
      <c r="G3379" s="4" t="str">
        <f>HYPERLINK("http://141.218.60.56/~jnz1568/getInfo.php?workbook=14_06.xlsx&amp;sheet=U0&amp;row=3379&amp;col=7&amp;number=0.0423&amp;sourceID=14","0.0423")</f>
        <v>0.0423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HYPERLINK("http://141.218.60.56/~jnz1568/getInfo.php?workbook=14_06.xlsx&amp;sheet=U0&amp;row=3380&amp;col=6&amp;number=4.6&amp;sourceID=14","4.6")</f>
        <v>4.6</v>
      </c>
      <c r="G3380" s="4" t="str">
        <f>HYPERLINK("http://141.218.60.56/~jnz1568/getInfo.php?workbook=14_06.xlsx&amp;sheet=U0&amp;row=3380&amp;col=7&amp;number=0.0421&amp;sourceID=14","0.0421")</f>
        <v>0.0421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HYPERLINK("http://141.218.60.56/~jnz1568/getInfo.php?workbook=14_06.xlsx&amp;sheet=U0&amp;row=3381&amp;col=6&amp;number=4.7&amp;sourceID=14","4.7")</f>
        <v>4.7</v>
      </c>
      <c r="G3381" s="4" t="str">
        <f>HYPERLINK("http://141.218.60.56/~jnz1568/getInfo.php?workbook=14_06.xlsx&amp;sheet=U0&amp;row=3381&amp;col=7&amp;number=0.042&amp;sourceID=14","0.042")</f>
        <v>0.042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HYPERLINK("http://141.218.60.56/~jnz1568/getInfo.php?workbook=14_06.xlsx&amp;sheet=U0&amp;row=3382&amp;col=6&amp;number=4.8&amp;sourceID=14","4.8")</f>
        <v>4.8</v>
      </c>
      <c r="G3382" s="4" t="str">
        <f>HYPERLINK("http://141.218.60.56/~jnz1568/getInfo.php?workbook=14_06.xlsx&amp;sheet=U0&amp;row=3382&amp;col=7&amp;number=0.0417&amp;sourceID=14","0.0417")</f>
        <v>0.0417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HYPERLINK("http://141.218.60.56/~jnz1568/getInfo.php?workbook=14_06.xlsx&amp;sheet=U0&amp;row=3383&amp;col=6&amp;number=4.9&amp;sourceID=14","4.9")</f>
        <v>4.9</v>
      </c>
      <c r="G3383" s="4" t="str">
        <f>HYPERLINK("http://141.218.60.56/~jnz1568/getInfo.php?workbook=14_06.xlsx&amp;sheet=U0&amp;row=3383&amp;col=7&amp;number=0.0414&amp;sourceID=14","0.0414")</f>
        <v>0.0414</v>
      </c>
    </row>
    <row r="3384" spans="1:7">
      <c r="A3384" s="3">
        <v>14</v>
      </c>
      <c r="B3384" s="3">
        <v>6</v>
      </c>
      <c r="C3384" s="3">
        <v>4</v>
      </c>
      <c r="D3384" s="3">
        <v>42</v>
      </c>
      <c r="E3384" s="3">
        <v>1</v>
      </c>
      <c r="F3384" s="4" t="str">
        <f>HYPERLINK("http://141.218.60.56/~jnz1568/getInfo.php?workbook=14_06.xlsx&amp;sheet=U0&amp;row=3384&amp;col=6&amp;number=3&amp;sourceID=14","3")</f>
        <v>3</v>
      </c>
      <c r="G3384" s="4" t="str">
        <f>HYPERLINK("http://141.218.60.56/~jnz1568/getInfo.php?workbook=14_06.xlsx&amp;sheet=U0&amp;row=3384&amp;col=7&amp;number=0.0325&amp;sourceID=14","0.0325")</f>
        <v>0.0325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HYPERLINK("http://141.218.60.56/~jnz1568/getInfo.php?workbook=14_06.xlsx&amp;sheet=U0&amp;row=3385&amp;col=6&amp;number=3.1&amp;sourceID=14","3.1")</f>
        <v>3.1</v>
      </c>
      <c r="G3385" s="4" t="str">
        <f>HYPERLINK("http://141.218.60.56/~jnz1568/getInfo.php?workbook=14_06.xlsx&amp;sheet=U0&amp;row=3385&amp;col=7&amp;number=0.0325&amp;sourceID=14","0.0325")</f>
        <v>0.0325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HYPERLINK("http://141.218.60.56/~jnz1568/getInfo.php?workbook=14_06.xlsx&amp;sheet=U0&amp;row=3386&amp;col=6&amp;number=3.2&amp;sourceID=14","3.2")</f>
        <v>3.2</v>
      </c>
      <c r="G3386" s="4" t="str">
        <f>HYPERLINK("http://141.218.60.56/~jnz1568/getInfo.php?workbook=14_06.xlsx&amp;sheet=U0&amp;row=3386&amp;col=7&amp;number=0.0325&amp;sourceID=14","0.0325")</f>
        <v>0.0325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HYPERLINK("http://141.218.60.56/~jnz1568/getInfo.php?workbook=14_06.xlsx&amp;sheet=U0&amp;row=3387&amp;col=6&amp;number=3.3&amp;sourceID=14","3.3")</f>
        <v>3.3</v>
      </c>
      <c r="G3387" s="4" t="str">
        <f>HYPERLINK("http://141.218.60.56/~jnz1568/getInfo.php?workbook=14_06.xlsx&amp;sheet=U0&amp;row=3387&amp;col=7&amp;number=0.0325&amp;sourceID=14","0.0325")</f>
        <v>0.0325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HYPERLINK("http://141.218.60.56/~jnz1568/getInfo.php?workbook=14_06.xlsx&amp;sheet=U0&amp;row=3388&amp;col=6&amp;number=3.4&amp;sourceID=14","3.4")</f>
        <v>3.4</v>
      </c>
      <c r="G3388" s="4" t="str">
        <f>HYPERLINK("http://141.218.60.56/~jnz1568/getInfo.php?workbook=14_06.xlsx&amp;sheet=U0&amp;row=3388&amp;col=7&amp;number=0.0325&amp;sourceID=14","0.0325")</f>
        <v>0.0325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HYPERLINK("http://141.218.60.56/~jnz1568/getInfo.php?workbook=14_06.xlsx&amp;sheet=U0&amp;row=3389&amp;col=6&amp;number=3.5&amp;sourceID=14","3.5")</f>
        <v>3.5</v>
      </c>
      <c r="G3389" s="4" t="str">
        <f>HYPERLINK("http://141.218.60.56/~jnz1568/getInfo.php?workbook=14_06.xlsx&amp;sheet=U0&amp;row=3389&amp;col=7&amp;number=0.0325&amp;sourceID=14","0.0325")</f>
        <v>0.0325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HYPERLINK("http://141.218.60.56/~jnz1568/getInfo.php?workbook=14_06.xlsx&amp;sheet=U0&amp;row=3390&amp;col=6&amp;number=3.6&amp;sourceID=14","3.6")</f>
        <v>3.6</v>
      </c>
      <c r="G3390" s="4" t="str">
        <f>HYPERLINK("http://141.218.60.56/~jnz1568/getInfo.php?workbook=14_06.xlsx&amp;sheet=U0&amp;row=3390&amp;col=7&amp;number=0.0325&amp;sourceID=14","0.0325")</f>
        <v>0.0325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HYPERLINK("http://141.218.60.56/~jnz1568/getInfo.php?workbook=14_06.xlsx&amp;sheet=U0&amp;row=3391&amp;col=6&amp;number=3.7&amp;sourceID=14","3.7")</f>
        <v>3.7</v>
      </c>
      <c r="G3391" s="4" t="str">
        <f>HYPERLINK("http://141.218.60.56/~jnz1568/getInfo.php?workbook=14_06.xlsx&amp;sheet=U0&amp;row=3391&amp;col=7&amp;number=0.0325&amp;sourceID=14","0.0325")</f>
        <v>0.0325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HYPERLINK("http://141.218.60.56/~jnz1568/getInfo.php?workbook=14_06.xlsx&amp;sheet=U0&amp;row=3392&amp;col=6&amp;number=3.8&amp;sourceID=14","3.8")</f>
        <v>3.8</v>
      </c>
      <c r="G3392" s="4" t="str">
        <f>HYPERLINK("http://141.218.60.56/~jnz1568/getInfo.php?workbook=14_06.xlsx&amp;sheet=U0&amp;row=3392&amp;col=7&amp;number=0.0325&amp;sourceID=14","0.0325")</f>
        <v>0.0325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HYPERLINK("http://141.218.60.56/~jnz1568/getInfo.php?workbook=14_06.xlsx&amp;sheet=U0&amp;row=3393&amp;col=6&amp;number=3.9&amp;sourceID=14","3.9")</f>
        <v>3.9</v>
      </c>
      <c r="G3393" s="4" t="str">
        <f>HYPERLINK("http://141.218.60.56/~jnz1568/getInfo.php?workbook=14_06.xlsx&amp;sheet=U0&amp;row=3393&amp;col=7&amp;number=0.0325&amp;sourceID=14","0.0325")</f>
        <v>0.0325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HYPERLINK("http://141.218.60.56/~jnz1568/getInfo.php?workbook=14_06.xlsx&amp;sheet=U0&amp;row=3394&amp;col=6&amp;number=4&amp;sourceID=14","4")</f>
        <v>4</v>
      </c>
      <c r="G3394" s="4" t="str">
        <f>HYPERLINK("http://141.218.60.56/~jnz1568/getInfo.php?workbook=14_06.xlsx&amp;sheet=U0&amp;row=3394&amp;col=7&amp;number=0.0324&amp;sourceID=14","0.0324")</f>
        <v>0.0324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HYPERLINK("http://141.218.60.56/~jnz1568/getInfo.php?workbook=14_06.xlsx&amp;sheet=U0&amp;row=3395&amp;col=6&amp;number=4.1&amp;sourceID=14","4.1")</f>
        <v>4.1</v>
      </c>
      <c r="G3395" s="4" t="str">
        <f>HYPERLINK("http://141.218.60.56/~jnz1568/getInfo.php?workbook=14_06.xlsx&amp;sheet=U0&amp;row=3395&amp;col=7&amp;number=0.0324&amp;sourceID=14","0.0324")</f>
        <v>0.0324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HYPERLINK("http://141.218.60.56/~jnz1568/getInfo.php?workbook=14_06.xlsx&amp;sheet=U0&amp;row=3396&amp;col=6&amp;number=4.2&amp;sourceID=14","4.2")</f>
        <v>4.2</v>
      </c>
      <c r="G3396" s="4" t="str">
        <f>HYPERLINK("http://141.218.60.56/~jnz1568/getInfo.php?workbook=14_06.xlsx&amp;sheet=U0&amp;row=3396&amp;col=7&amp;number=0.0324&amp;sourceID=14","0.0324")</f>
        <v>0.0324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HYPERLINK("http://141.218.60.56/~jnz1568/getInfo.php?workbook=14_06.xlsx&amp;sheet=U0&amp;row=3397&amp;col=6&amp;number=4.3&amp;sourceID=14","4.3")</f>
        <v>4.3</v>
      </c>
      <c r="G3397" s="4" t="str">
        <f>HYPERLINK("http://141.218.60.56/~jnz1568/getInfo.php?workbook=14_06.xlsx&amp;sheet=U0&amp;row=3397&amp;col=7&amp;number=0.0323&amp;sourceID=14","0.0323")</f>
        <v>0.0323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HYPERLINK("http://141.218.60.56/~jnz1568/getInfo.php?workbook=14_06.xlsx&amp;sheet=U0&amp;row=3398&amp;col=6&amp;number=4.4&amp;sourceID=14","4.4")</f>
        <v>4.4</v>
      </c>
      <c r="G3398" s="4" t="str">
        <f>HYPERLINK("http://141.218.60.56/~jnz1568/getInfo.php?workbook=14_06.xlsx&amp;sheet=U0&amp;row=3398&amp;col=7&amp;number=0.0323&amp;sourceID=14","0.0323")</f>
        <v>0.0323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HYPERLINK("http://141.218.60.56/~jnz1568/getInfo.php?workbook=14_06.xlsx&amp;sheet=U0&amp;row=3399&amp;col=6&amp;number=4.5&amp;sourceID=14","4.5")</f>
        <v>4.5</v>
      </c>
      <c r="G3399" s="4" t="str">
        <f>HYPERLINK("http://141.218.60.56/~jnz1568/getInfo.php?workbook=14_06.xlsx&amp;sheet=U0&amp;row=3399&amp;col=7&amp;number=0.0322&amp;sourceID=14","0.0322")</f>
        <v>0.0322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HYPERLINK("http://141.218.60.56/~jnz1568/getInfo.php?workbook=14_06.xlsx&amp;sheet=U0&amp;row=3400&amp;col=6&amp;number=4.6&amp;sourceID=14","4.6")</f>
        <v>4.6</v>
      </c>
      <c r="G3400" s="4" t="str">
        <f>HYPERLINK("http://141.218.60.56/~jnz1568/getInfo.php?workbook=14_06.xlsx&amp;sheet=U0&amp;row=3400&amp;col=7&amp;number=0.0321&amp;sourceID=14","0.0321")</f>
        <v>0.0321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HYPERLINK("http://141.218.60.56/~jnz1568/getInfo.php?workbook=14_06.xlsx&amp;sheet=U0&amp;row=3401&amp;col=6&amp;number=4.7&amp;sourceID=14","4.7")</f>
        <v>4.7</v>
      </c>
      <c r="G3401" s="4" t="str">
        <f>HYPERLINK("http://141.218.60.56/~jnz1568/getInfo.php?workbook=14_06.xlsx&amp;sheet=U0&amp;row=3401&amp;col=7&amp;number=0.032&amp;sourceID=14","0.032")</f>
        <v>0.032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HYPERLINK("http://141.218.60.56/~jnz1568/getInfo.php?workbook=14_06.xlsx&amp;sheet=U0&amp;row=3402&amp;col=6&amp;number=4.8&amp;sourceID=14","4.8")</f>
        <v>4.8</v>
      </c>
      <c r="G3402" s="4" t="str">
        <f>HYPERLINK("http://141.218.60.56/~jnz1568/getInfo.php?workbook=14_06.xlsx&amp;sheet=U0&amp;row=3402&amp;col=7&amp;number=0.0319&amp;sourceID=14","0.0319")</f>
        <v>0.0319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HYPERLINK("http://141.218.60.56/~jnz1568/getInfo.php?workbook=14_06.xlsx&amp;sheet=U0&amp;row=3403&amp;col=6&amp;number=4.9&amp;sourceID=14","4.9")</f>
        <v>4.9</v>
      </c>
      <c r="G3403" s="4" t="str">
        <f>HYPERLINK("http://141.218.60.56/~jnz1568/getInfo.php?workbook=14_06.xlsx&amp;sheet=U0&amp;row=3403&amp;col=7&amp;number=0.0317&amp;sourceID=14","0.0317")</f>
        <v>0.0317</v>
      </c>
    </row>
    <row r="3404" spans="1:7">
      <c r="A3404" s="3">
        <v>14</v>
      </c>
      <c r="B3404" s="3">
        <v>6</v>
      </c>
      <c r="C3404" s="3">
        <v>4</v>
      </c>
      <c r="D3404" s="3">
        <v>43</v>
      </c>
      <c r="E3404" s="3">
        <v>1</v>
      </c>
      <c r="F3404" s="4" t="str">
        <f>HYPERLINK("http://141.218.60.56/~jnz1568/getInfo.php?workbook=14_06.xlsx&amp;sheet=U0&amp;row=3404&amp;col=6&amp;number=3&amp;sourceID=14","3")</f>
        <v>3</v>
      </c>
      <c r="G3404" s="4" t="str">
        <f>HYPERLINK("http://141.218.60.56/~jnz1568/getInfo.php?workbook=14_06.xlsx&amp;sheet=U0&amp;row=3404&amp;col=7&amp;number=0.0185&amp;sourceID=14","0.0185")</f>
        <v>0.0185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HYPERLINK("http://141.218.60.56/~jnz1568/getInfo.php?workbook=14_06.xlsx&amp;sheet=U0&amp;row=3405&amp;col=6&amp;number=3.1&amp;sourceID=14","3.1")</f>
        <v>3.1</v>
      </c>
      <c r="G3405" s="4" t="str">
        <f>HYPERLINK("http://141.218.60.56/~jnz1568/getInfo.php?workbook=14_06.xlsx&amp;sheet=U0&amp;row=3405&amp;col=7&amp;number=0.0185&amp;sourceID=14","0.0185")</f>
        <v>0.0185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HYPERLINK("http://141.218.60.56/~jnz1568/getInfo.php?workbook=14_06.xlsx&amp;sheet=U0&amp;row=3406&amp;col=6&amp;number=3.2&amp;sourceID=14","3.2")</f>
        <v>3.2</v>
      </c>
      <c r="G3406" s="4" t="str">
        <f>HYPERLINK("http://141.218.60.56/~jnz1568/getInfo.php?workbook=14_06.xlsx&amp;sheet=U0&amp;row=3406&amp;col=7&amp;number=0.0184&amp;sourceID=14","0.0184")</f>
        <v>0.0184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HYPERLINK("http://141.218.60.56/~jnz1568/getInfo.php?workbook=14_06.xlsx&amp;sheet=U0&amp;row=3407&amp;col=6&amp;number=3.3&amp;sourceID=14","3.3")</f>
        <v>3.3</v>
      </c>
      <c r="G3407" s="4" t="str">
        <f>HYPERLINK("http://141.218.60.56/~jnz1568/getInfo.php?workbook=14_06.xlsx&amp;sheet=U0&amp;row=3407&amp;col=7&amp;number=0.0184&amp;sourceID=14","0.0184")</f>
        <v>0.0184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HYPERLINK("http://141.218.60.56/~jnz1568/getInfo.php?workbook=14_06.xlsx&amp;sheet=U0&amp;row=3408&amp;col=6&amp;number=3.4&amp;sourceID=14","3.4")</f>
        <v>3.4</v>
      </c>
      <c r="G3408" s="4" t="str">
        <f>HYPERLINK("http://141.218.60.56/~jnz1568/getInfo.php?workbook=14_06.xlsx&amp;sheet=U0&amp;row=3408&amp;col=7&amp;number=0.0184&amp;sourceID=14","0.0184")</f>
        <v>0.0184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HYPERLINK("http://141.218.60.56/~jnz1568/getInfo.php?workbook=14_06.xlsx&amp;sheet=U0&amp;row=3409&amp;col=6&amp;number=3.5&amp;sourceID=14","3.5")</f>
        <v>3.5</v>
      </c>
      <c r="G3409" s="4" t="str">
        <f>HYPERLINK("http://141.218.60.56/~jnz1568/getInfo.php?workbook=14_06.xlsx&amp;sheet=U0&amp;row=3409&amp;col=7&amp;number=0.0184&amp;sourceID=14","0.0184")</f>
        <v>0.0184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HYPERLINK("http://141.218.60.56/~jnz1568/getInfo.php?workbook=14_06.xlsx&amp;sheet=U0&amp;row=3410&amp;col=6&amp;number=3.6&amp;sourceID=14","3.6")</f>
        <v>3.6</v>
      </c>
      <c r="G3410" s="4" t="str">
        <f>HYPERLINK("http://141.218.60.56/~jnz1568/getInfo.php?workbook=14_06.xlsx&amp;sheet=U0&amp;row=3410&amp;col=7&amp;number=0.0184&amp;sourceID=14","0.0184")</f>
        <v>0.0184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HYPERLINK("http://141.218.60.56/~jnz1568/getInfo.php?workbook=14_06.xlsx&amp;sheet=U0&amp;row=3411&amp;col=6&amp;number=3.7&amp;sourceID=14","3.7")</f>
        <v>3.7</v>
      </c>
      <c r="G3411" s="4" t="str">
        <f>HYPERLINK("http://141.218.60.56/~jnz1568/getInfo.php?workbook=14_06.xlsx&amp;sheet=U0&amp;row=3411&amp;col=7&amp;number=0.0184&amp;sourceID=14","0.0184")</f>
        <v>0.0184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HYPERLINK("http://141.218.60.56/~jnz1568/getInfo.php?workbook=14_06.xlsx&amp;sheet=U0&amp;row=3412&amp;col=6&amp;number=3.8&amp;sourceID=14","3.8")</f>
        <v>3.8</v>
      </c>
      <c r="G3412" s="4" t="str">
        <f>HYPERLINK("http://141.218.60.56/~jnz1568/getInfo.php?workbook=14_06.xlsx&amp;sheet=U0&amp;row=3412&amp;col=7&amp;number=0.0184&amp;sourceID=14","0.0184")</f>
        <v>0.0184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HYPERLINK("http://141.218.60.56/~jnz1568/getInfo.php?workbook=14_06.xlsx&amp;sheet=U0&amp;row=3413&amp;col=6&amp;number=3.9&amp;sourceID=14","3.9")</f>
        <v>3.9</v>
      </c>
      <c r="G3413" s="4" t="str">
        <f>HYPERLINK("http://141.218.60.56/~jnz1568/getInfo.php?workbook=14_06.xlsx&amp;sheet=U0&amp;row=3413&amp;col=7&amp;number=0.0184&amp;sourceID=14","0.0184")</f>
        <v>0.0184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HYPERLINK("http://141.218.60.56/~jnz1568/getInfo.php?workbook=14_06.xlsx&amp;sheet=U0&amp;row=3414&amp;col=6&amp;number=4&amp;sourceID=14","4")</f>
        <v>4</v>
      </c>
      <c r="G3414" s="4" t="str">
        <f>HYPERLINK("http://141.218.60.56/~jnz1568/getInfo.php?workbook=14_06.xlsx&amp;sheet=U0&amp;row=3414&amp;col=7&amp;number=0.0184&amp;sourceID=14","0.0184")</f>
        <v>0.0184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HYPERLINK("http://141.218.60.56/~jnz1568/getInfo.php?workbook=14_06.xlsx&amp;sheet=U0&amp;row=3415&amp;col=6&amp;number=4.1&amp;sourceID=14","4.1")</f>
        <v>4.1</v>
      </c>
      <c r="G3415" s="4" t="str">
        <f>HYPERLINK("http://141.218.60.56/~jnz1568/getInfo.php?workbook=14_06.xlsx&amp;sheet=U0&amp;row=3415&amp;col=7&amp;number=0.0184&amp;sourceID=14","0.0184")</f>
        <v>0.0184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HYPERLINK("http://141.218.60.56/~jnz1568/getInfo.php?workbook=14_06.xlsx&amp;sheet=U0&amp;row=3416&amp;col=6&amp;number=4.2&amp;sourceID=14","4.2")</f>
        <v>4.2</v>
      </c>
      <c r="G3416" s="4" t="str">
        <f>HYPERLINK("http://141.218.60.56/~jnz1568/getInfo.php?workbook=14_06.xlsx&amp;sheet=U0&amp;row=3416&amp;col=7&amp;number=0.0183&amp;sourceID=14","0.0183")</f>
        <v>0.0183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HYPERLINK("http://141.218.60.56/~jnz1568/getInfo.php?workbook=14_06.xlsx&amp;sheet=U0&amp;row=3417&amp;col=6&amp;number=4.3&amp;sourceID=14","4.3")</f>
        <v>4.3</v>
      </c>
      <c r="G3417" s="4" t="str">
        <f>HYPERLINK("http://141.218.60.56/~jnz1568/getInfo.php?workbook=14_06.xlsx&amp;sheet=U0&amp;row=3417&amp;col=7&amp;number=0.0183&amp;sourceID=14","0.0183")</f>
        <v>0.0183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HYPERLINK("http://141.218.60.56/~jnz1568/getInfo.php?workbook=14_06.xlsx&amp;sheet=U0&amp;row=3418&amp;col=6&amp;number=4.4&amp;sourceID=14","4.4")</f>
        <v>4.4</v>
      </c>
      <c r="G3418" s="4" t="str">
        <f>HYPERLINK("http://141.218.60.56/~jnz1568/getInfo.php?workbook=14_06.xlsx&amp;sheet=U0&amp;row=3418&amp;col=7&amp;number=0.0183&amp;sourceID=14","0.0183")</f>
        <v>0.0183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HYPERLINK("http://141.218.60.56/~jnz1568/getInfo.php?workbook=14_06.xlsx&amp;sheet=U0&amp;row=3419&amp;col=6&amp;number=4.5&amp;sourceID=14","4.5")</f>
        <v>4.5</v>
      </c>
      <c r="G3419" s="4" t="str">
        <f>HYPERLINK("http://141.218.60.56/~jnz1568/getInfo.php?workbook=14_06.xlsx&amp;sheet=U0&amp;row=3419&amp;col=7&amp;number=0.0182&amp;sourceID=14","0.0182")</f>
        <v>0.0182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HYPERLINK("http://141.218.60.56/~jnz1568/getInfo.php?workbook=14_06.xlsx&amp;sheet=U0&amp;row=3420&amp;col=6&amp;number=4.6&amp;sourceID=14","4.6")</f>
        <v>4.6</v>
      </c>
      <c r="G3420" s="4" t="str">
        <f>HYPERLINK("http://141.218.60.56/~jnz1568/getInfo.php?workbook=14_06.xlsx&amp;sheet=U0&amp;row=3420&amp;col=7&amp;number=0.0182&amp;sourceID=14","0.0182")</f>
        <v>0.0182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HYPERLINK("http://141.218.60.56/~jnz1568/getInfo.php?workbook=14_06.xlsx&amp;sheet=U0&amp;row=3421&amp;col=6&amp;number=4.7&amp;sourceID=14","4.7")</f>
        <v>4.7</v>
      </c>
      <c r="G3421" s="4" t="str">
        <f>HYPERLINK("http://141.218.60.56/~jnz1568/getInfo.php?workbook=14_06.xlsx&amp;sheet=U0&amp;row=3421&amp;col=7&amp;number=0.0181&amp;sourceID=14","0.0181")</f>
        <v>0.0181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HYPERLINK("http://141.218.60.56/~jnz1568/getInfo.php?workbook=14_06.xlsx&amp;sheet=U0&amp;row=3422&amp;col=6&amp;number=4.8&amp;sourceID=14","4.8")</f>
        <v>4.8</v>
      </c>
      <c r="G3422" s="4" t="str">
        <f>HYPERLINK("http://141.218.60.56/~jnz1568/getInfo.php?workbook=14_06.xlsx&amp;sheet=U0&amp;row=3422&amp;col=7&amp;number=0.018&amp;sourceID=14","0.018")</f>
        <v>0.018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HYPERLINK("http://141.218.60.56/~jnz1568/getInfo.php?workbook=14_06.xlsx&amp;sheet=U0&amp;row=3423&amp;col=6&amp;number=4.9&amp;sourceID=14","4.9")</f>
        <v>4.9</v>
      </c>
      <c r="G3423" s="4" t="str">
        <f>HYPERLINK("http://141.218.60.56/~jnz1568/getInfo.php?workbook=14_06.xlsx&amp;sheet=U0&amp;row=3423&amp;col=7&amp;number=0.0179&amp;sourceID=14","0.0179")</f>
        <v>0.0179</v>
      </c>
    </row>
    <row r="3424" spans="1:7">
      <c r="A3424" s="3">
        <v>14</v>
      </c>
      <c r="B3424" s="3">
        <v>6</v>
      </c>
      <c r="C3424" s="3">
        <v>4</v>
      </c>
      <c r="D3424" s="3">
        <v>44</v>
      </c>
      <c r="E3424" s="3">
        <v>1</v>
      </c>
      <c r="F3424" s="4" t="str">
        <f>HYPERLINK("http://141.218.60.56/~jnz1568/getInfo.php?workbook=14_06.xlsx&amp;sheet=U0&amp;row=3424&amp;col=6&amp;number=3&amp;sourceID=14","3")</f>
        <v>3</v>
      </c>
      <c r="G3424" s="4" t="str">
        <f>HYPERLINK("http://141.218.60.56/~jnz1568/getInfo.php?workbook=14_06.xlsx&amp;sheet=U0&amp;row=3424&amp;col=7&amp;number=0.00609&amp;sourceID=14","0.00609")</f>
        <v>0.00609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HYPERLINK("http://141.218.60.56/~jnz1568/getInfo.php?workbook=14_06.xlsx&amp;sheet=U0&amp;row=3425&amp;col=6&amp;number=3.1&amp;sourceID=14","3.1")</f>
        <v>3.1</v>
      </c>
      <c r="G3425" s="4" t="str">
        <f>HYPERLINK("http://141.218.60.56/~jnz1568/getInfo.php?workbook=14_06.xlsx&amp;sheet=U0&amp;row=3425&amp;col=7&amp;number=0.00608&amp;sourceID=14","0.00608")</f>
        <v>0.00608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HYPERLINK("http://141.218.60.56/~jnz1568/getInfo.php?workbook=14_06.xlsx&amp;sheet=U0&amp;row=3426&amp;col=6&amp;number=3.2&amp;sourceID=14","3.2")</f>
        <v>3.2</v>
      </c>
      <c r="G3426" s="4" t="str">
        <f>HYPERLINK("http://141.218.60.56/~jnz1568/getInfo.php?workbook=14_06.xlsx&amp;sheet=U0&amp;row=3426&amp;col=7&amp;number=0.00608&amp;sourceID=14","0.00608")</f>
        <v>0.00608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HYPERLINK("http://141.218.60.56/~jnz1568/getInfo.php?workbook=14_06.xlsx&amp;sheet=U0&amp;row=3427&amp;col=6&amp;number=3.3&amp;sourceID=14","3.3")</f>
        <v>3.3</v>
      </c>
      <c r="G3427" s="4" t="str">
        <f>HYPERLINK("http://141.218.60.56/~jnz1568/getInfo.php?workbook=14_06.xlsx&amp;sheet=U0&amp;row=3427&amp;col=7&amp;number=0.00608&amp;sourceID=14","0.00608")</f>
        <v>0.00608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HYPERLINK("http://141.218.60.56/~jnz1568/getInfo.php?workbook=14_06.xlsx&amp;sheet=U0&amp;row=3428&amp;col=6&amp;number=3.4&amp;sourceID=14","3.4")</f>
        <v>3.4</v>
      </c>
      <c r="G3428" s="4" t="str">
        <f>HYPERLINK("http://141.218.60.56/~jnz1568/getInfo.php?workbook=14_06.xlsx&amp;sheet=U0&amp;row=3428&amp;col=7&amp;number=0.00608&amp;sourceID=14","0.00608")</f>
        <v>0.00608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HYPERLINK("http://141.218.60.56/~jnz1568/getInfo.php?workbook=14_06.xlsx&amp;sheet=U0&amp;row=3429&amp;col=6&amp;number=3.5&amp;sourceID=14","3.5")</f>
        <v>3.5</v>
      </c>
      <c r="G3429" s="4" t="str">
        <f>HYPERLINK("http://141.218.60.56/~jnz1568/getInfo.php?workbook=14_06.xlsx&amp;sheet=U0&amp;row=3429&amp;col=7&amp;number=0.00608&amp;sourceID=14","0.00608")</f>
        <v>0.00608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HYPERLINK("http://141.218.60.56/~jnz1568/getInfo.php?workbook=14_06.xlsx&amp;sheet=U0&amp;row=3430&amp;col=6&amp;number=3.6&amp;sourceID=14","3.6")</f>
        <v>3.6</v>
      </c>
      <c r="G3430" s="4" t="str">
        <f>HYPERLINK("http://141.218.60.56/~jnz1568/getInfo.php?workbook=14_06.xlsx&amp;sheet=U0&amp;row=3430&amp;col=7&amp;number=0.00608&amp;sourceID=14","0.00608")</f>
        <v>0.00608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HYPERLINK("http://141.218.60.56/~jnz1568/getInfo.php?workbook=14_06.xlsx&amp;sheet=U0&amp;row=3431&amp;col=6&amp;number=3.7&amp;sourceID=14","3.7")</f>
        <v>3.7</v>
      </c>
      <c r="G3431" s="4" t="str">
        <f>HYPERLINK("http://141.218.60.56/~jnz1568/getInfo.php?workbook=14_06.xlsx&amp;sheet=U0&amp;row=3431&amp;col=7&amp;number=0.00608&amp;sourceID=14","0.00608")</f>
        <v>0.00608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HYPERLINK("http://141.218.60.56/~jnz1568/getInfo.php?workbook=14_06.xlsx&amp;sheet=U0&amp;row=3432&amp;col=6&amp;number=3.8&amp;sourceID=14","3.8")</f>
        <v>3.8</v>
      </c>
      <c r="G3432" s="4" t="str">
        <f>HYPERLINK("http://141.218.60.56/~jnz1568/getInfo.php?workbook=14_06.xlsx&amp;sheet=U0&amp;row=3432&amp;col=7&amp;number=0.00607&amp;sourceID=14","0.00607")</f>
        <v>0.00607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HYPERLINK("http://141.218.60.56/~jnz1568/getInfo.php?workbook=14_06.xlsx&amp;sheet=U0&amp;row=3433&amp;col=6&amp;number=3.9&amp;sourceID=14","3.9")</f>
        <v>3.9</v>
      </c>
      <c r="G3433" s="4" t="str">
        <f>HYPERLINK("http://141.218.60.56/~jnz1568/getInfo.php?workbook=14_06.xlsx&amp;sheet=U0&amp;row=3433&amp;col=7&amp;number=0.00607&amp;sourceID=14","0.00607")</f>
        <v>0.00607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HYPERLINK("http://141.218.60.56/~jnz1568/getInfo.php?workbook=14_06.xlsx&amp;sheet=U0&amp;row=3434&amp;col=6&amp;number=4&amp;sourceID=14","4")</f>
        <v>4</v>
      </c>
      <c r="G3434" s="4" t="str">
        <f>HYPERLINK("http://141.218.60.56/~jnz1568/getInfo.php?workbook=14_06.xlsx&amp;sheet=U0&amp;row=3434&amp;col=7&amp;number=0.00606&amp;sourceID=14","0.00606")</f>
        <v>0.00606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HYPERLINK("http://141.218.60.56/~jnz1568/getInfo.php?workbook=14_06.xlsx&amp;sheet=U0&amp;row=3435&amp;col=6&amp;number=4.1&amp;sourceID=14","4.1")</f>
        <v>4.1</v>
      </c>
      <c r="G3435" s="4" t="str">
        <f>HYPERLINK("http://141.218.60.56/~jnz1568/getInfo.php?workbook=14_06.xlsx&amp;sheet=U0&amp;row=3435&amp;col=7&amp;number=0.00606&amp;sourceID=14","0.00606")</f>
        <v>0.00606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HYPERLINK("http://141.218.60.56/~jnz1568/getInfo.php?workbook=14_06.xlsx&amp;sheet=U0&amp;row=3436&amp;col=6&amp;number=4.2&amp;sourceID=14","4.2")</f>
        <v>4.2</v>
      </c>
      <c r="G3436" s="4" t="str">
        <f>HYPERLINK("http://141.218.60.56/~jnz1568/getInfo.php?workbook=14_06.xlsx&amp;sheet=U0&amp;row=3436&amp;col=7&amp;number=0.00605&amp;sourceID=14","0.00605")</f>
        <v>0.00605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HYPERLINK("http://141.218.60.56/~jnz1568/getInfo.php?workbook=14_06.xlsx&amp;sheet=U0&amp;row=3437&amp;col=6&amp;number=4.3&amp;sourceID=14","4.3")</f>
        <v>4.3</v>
      </c>
      <c r="G3437" s="4" t="str">
        <f>HYPERLINK("http://141.218.60.56/~jnz1568/getInfo.php?workbook=14_06.xlsx&amp;sheet=U0&amp;row=3437&amp;col=7&amp;number=0.00604&amp;sourceID=14","0.00604")</f>
        <v>0.00604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HYPERLINK("http://141.218.60.56/~jnz1568/getInfo.php?workbook=14_06.xlsx&amp;sheet=U0&amp;row=3438&amp;col=6&amp;number=4.4&amp;sourceID=14","4.4")</f>
        <v>4.4</v>
      </c>
      <c r="G3438" s="4" t="str">
        <f>HYPERLINK("http://141.218.60.56/~jnz1568/getInfo.php?workbook=14_06.xlsx&amp;sheet=U0&amp;row=3438&amp;col=7&amp;number=0.00603&amp;sourceID=14","0.00603")</f>
        <v>0.00603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HYPERLINK("http://141.218.60.56/~jnz1568/getInfo.php?workbook=14_06.xlsx&amp;sheet=U0&amp;row=3439&amp;col=6&amp;number=4.5&amp;sourceID=14","4.5")</f>
        <v>4.5</v>
      </c>
      <c r="G3439" s="4" t="str">
        <f>HYPERLINK("http://141.218.60.56/~jnz1568/getInfo.php?workbook=14_06.xlsx&amp;sheet=U0&amp;row=3439&amp;col=7&amp;number=0.00601&amp;sourceID=14","0.00601")</f>
        <v>0.00601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HYPERLINK("http://141.218.60.56/~jnz1568/getInfo.php?workbook=14_06.xlsx&amp;sheet=U0&amp;row=3440&amp;col=6&amp;number=4.6&amp;sourceID=14","4.6")</f>
        <v>4.6</v>
      </c>
      <c r="G3440" s="4" t="str">
        <f>HYPERLINK("http://141.218.60.56/~jnz1568/getInfo.php?workbook=14_06.xlsx&amp;sheet=U0&amp;row=3440&amp;col=7&amp;number=0.00599&amp;sourceID=14","0.00599")</f>
        <v>0.00599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HYPERLINK("http://141.218.60.56/~jnz1568/getInfo.php?workbook=14_06.xlsx&amp;sheet=U0&amp;row=3441&amp;col=6&amp;number=4.7&amp;sourceID=14","4.7")</f>
        <v>4.7</v>
      </c>
      <c r="G3441" s="4" t="str">
        <f>HYPERLINK("http://141.218.60.56/~jnz1568/getInfo.php?workbook=14_06.xlsx&amp;sheet=U0&amp;row=3441&amp;col=7&amp;number=0.00597&amp;sourceID=14","0.00597")</f>
        <v>0.00597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HYPERLINK("http://141.218.60.56/~jnz1568/getInfo.php?workbook=14_06.xlsx&amp;sheet=U0&amp;row=3442&amp;col=6&amp;number=4.8&amp;sourceID=14","4.8")</f>
        <v>4.8</v>
      </c>
      <c r="G3442" s="4" t="str">
        <f>HYPERLINK("http://141.218.60.56/~jnz1568/getInfo.php?workbook=14_06.xlsx&amp;sheet=U0&amp;row=3442&amp;col=7&amp;number=0.00593&amp;sourceID=14","0.00593")</f>
        <v>0.00593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HYPERLINK("http://141.218.60.56/~jnz1568/getInfo.php?workbook=14_06.xlsx&amp;sheet=U0&amp;row=3443&amp;col=6&amp;number=4.9&amp;sourceID=14","4.9")</f>
        <v>4.9</v>
      </c>
      <c r="G3443" s="4" t="str">
        <f>HYPERLINK("http://141.218.60.56/~jnz1568/getInfo.php?workbook=14_06.xlsx&amp;sheet=U0&amp;row=3443&amp;col=7&amp;number=0.0059&amp;sourceID=14","0.0059")</f>
        <v>0.0059</v>
      </c>
    </row>
    <row r="3444" spans="1:7">
      <c r="A3444" s="3">
        <v>14</v>
      </c>
      <c r="B3444" s="3">
        <v>6</v>
      </c>
      <c r="C3444" s="3">
        <v>4</v>
      </c>
      <c r="D3444" s="3">
        <v>45</v>
      </c>
      <c r="E3444" s="3">
        <v>1</v>
      </c>
      <c r="F3444" s="4" t="str">
        <f>HYPERLINK("http://141.218.60.56/~jnz1568/getInfo.php?workbook=14_06.xlsx&amp;sheet=U0&amp;row=3444&amp;col=6&amp;number=3&amp;sourceID=14","3")</f>
        <v>3</v>
      </c>
      <c r="G3444" s="4" t="str">
        <f>HYPERLINK("http://141.218.60.56/~jnz1568/getInfo.php?workbook=14_06.xlsx&amp;sheet=U0&amp;row=3444&amp;col=7&amp;number=0.0129&amp;sourceID=14","0.0129")</f>
        <v>0.0129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HYPERLINK("http://141.218.60.56/~jnz1568/getInfo.php?workbook=14_06.xlsx&amp;sheet=U0&amp;row=3445&amp;col=6&amp;number=3.1&amp;sourceID=14","3.1")</f>
        <v>3.1</v>
      </c>
      <c r="G3445" s="4" t="str">
        <f>HYPERLINK("http://141.218.60.56/~jnz1568/getInfo.php?workbook=14_06.xlsx&amp;sheet=U0&amp;row=3445&amp;col=7&amp;number=0.0129&amp;sourceID=14","0.0129")</f>
        <v>0.0129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HYPERLINK("http://141.218.60.56/~jnz1568/getInfo.php?workbook=14_06.xlsx&amp;sheet=U0&amp;row=3446&amp;col=6&amp;number=3.2&amp;sourceID=14","3.2")</f>
        <v>3.2</v>
      </c>
      <c r="G3446" s="4" t="str">
        <f>HYPERLINK("http://141.218.60.56/~jnz1568/getInfo.php?workbook=14_06.xlsx&amp;sheet=U0&amp;row=3446&amp;col=7&amp;number=0.0129&amp;sourceID=14","0.0129")</f>
        <v>0.0129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HYPERLINK("http://141.218.60.56/~jnz1568/getInfo.php?workbook=14_06.xlsx&amp;sheet=U0&amp;row=3447&amp;col=6&amp;number=3.3&amp;sourceID=14","3.3")</f>
        <v>3.3</v>
      </c>
      <c r="G3447" s="4" t="str">
        <f>HYPERLINK("http://141.218.60.56/~jnz1568/getInfo.php?workbook=14_06.xlsx&amp;sheet=U0&amp;row=3447&amp;col=7&amp;number=0.0129&amp;sourceID=14","0.0129")</f>
        <v>0.0129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HYPERLINK("http://141.218.60.56/~jnz1568/getInfo.php?workbook=14_06.xlsx&amp;sheet=U0&amp;row=3448&amp;col=6&amp;number=3.4&amp;sourceID=14","3.4")</f>
        <v>3.4</v>
      </c>
      <c r="G3448" s="4" t="str">
        <f>HYPERLINK("http://141.218.60.56/~jnz1568/getInfo.php?workbook=14_06.xlsx&amp;sheet=U0&amp;row=3448&amp;col=7&amp;number=0.0129&amp;sourceID=14","0.0129")</f>
        <v>0.0129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HYPERLINK("http://141.218.60.56/~jnz1568/getInfo.php?workbook=14_06.xlsx&amp;sheet=U0&amp;row=3449&amp;col=6&amp;number=3.5&amp;sourceID=14","3.5")</f>
        <v>3.5</v>
      </c>
      <c r="G3449" s="4" t="str">
        <f>HYPERLINK("http://141.218.60.56/~jnz1568/getInfo.php?workbook=14_06.xlsx&amp;sheet=U0&amp;row=3449&amp;col=7&amp;number=0.0129&amp;sourceID=14","0.0129")</f>
        <v>0.0129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HYPERLINK("http://141.218.60.56/~jnz1568/getInfo.php?workbook=14_06.xlsx&amp;sheet=U0&amp;row=3450&amp;col=6&amp;number=3.6&amp;sourceID=14","3.6")</f>
        <v>3.6</v>
      </c>
      <c r="G3450" s="4" t="str">
        <f>HYPERLINK("http://141.218.60.56/~jnz1568/getInfo.php?workbook=14_06.xlsx&amp;sheet=U0&amp;row=3450&amp;col=7&amp;number=0.0129&amp;sourceID=14","0.0129")</f>
        <v>0.0129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HYPERLINK("http://141.218.60.56/~jnz1568/getInfo.php?workbook=14_06.xlsx&amp;sheet=U0&amp;row=3451&amp;col=6&amp;number=3.7&amp;sourceID=14","3.7")</f>
        <v>3.7</v>
      </c>
      <c r="G3451" s="4" t="str">
        <f>HYPERLINK("http://141.218.60.56/~jnz1568/getInfo.php?workbook=14_06.xlsx&amp;sheet=U0&amp;row=3451&amp;col=7&amp;number=0.0129&amp;sourceID=14","0.0129")</f>
        <v>0.0129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HYPERLINK("http://141.218.60.56/~jnz1568/getInfo.php?workbook=14_06.xlsx&amp;sheet=U0&amp;row=3452&amp;col=6&amp;number=3.8&amp;sourceID=14","3.8")</f>
        <v>3.8</v>
      </c>
      <c r="G3452" s="4" t="str">
        <f>HYPERLINK("http://141.218.60.56/~jnz1568/getInfo.php?workbook=14_06.xlsx&amp;sheet=U0&amp;row=3452&amp;col=7&amp;number=0.0129&amp;sourceID=14","0.0129")</f>
        <v>0.0129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HYPERLINK("http://141.218.60.56/~jnz1568/getInfo.php?workbook=14_06.xlsx&amp;sheet=U0&amp;row=3453&amp;col=6&amp;number=3.9&amp;sourceID=14","3.9")</f>
        <v>3.9</v>
      </c>
      <c r="G3453" s="4" t="str">
        <f>HYPERLINK("http://141.218.60.56/~jnz1568/getInfo.php?workbook=14_06.xlsx&amp;sheet=U0&amp;row=3453&amp;col=7&amp;number=0.0129&amp;sourceID=14","0.0129")</f>
        <v>0.0129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HYPERLINK("http://141.218.60.56/~jnz1568/getInfo.php?workbook=14_06.xlsx&amp;sheet=U0&amp;row=3454&amp;col=6&amp;number=4&amp;sourceID=14","4")</f>
        <v>4</v>
      </c>
      <c r="G3454" s="4" t="str">
        <f>HYPERLINK("http://141.218.60.56/~jnz1568/getInfo.php?workbook=14_06.xlsx&amp;sheet=U0&amp;row=3454&amp;col=7&amp;number=0.0129&amp;sourceID=14","0.0129")</f>
        <v>0.0129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HYPERLINK("http://141.218.60.56/~jnz1568/getInfo.php?workbook=14_06.xlsx&amp;sheet=U0&amp;row=3455&amp;col=6&amp;number=4.1&amp;sourceID=14","4.1")</f>
        <v>4.1</v>
      </c>
      <c r="G3455" s="4" t="str">
        <f>HYPERLINK("http://141.218.60.56/~jnz1568/getInfo.php?workbook=14_06.xlsx&amp;sheet=U0&amp;row=3455&amp;col=7&amp;number=0.0129&amp;sourceID=14","0.0129")</f>
        <v>0.0129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HYPERLINK("http://141.218.60.56/~jnz1568/getInfo.php?workbook=14_06.xlsx&amp;sheet=U0&amp;row=3456&amp;col=6&amp;number=4.2&amp;sourceID=14","4.2")</f>
        <v>4.2</v>
      </c>
      <c r="G3456" s="4" t="str">
        <f>HYPERLINK("http://141.218.60.56/~jnz1568/getInfo.php?workbook=14_06.xlsx&amp;sheet=U0&amp;row=3456&amp;col=7&amp;number=0.0129&amp;sourceID=14","0.0129")</f>
        <v>0.0129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HYPERLINK("http://141.218.60.56/~jnz1568/getInfo.php?workbook=14_06.xlsx&amp;sheet=U0&amp;row=3457&amp;col=6&amp;number=4.3&amp;sourceID=14","4.3")</f>
        <v>4.3</v>
      </c>
      <c r="G3457" s="4" t="str">
        <f>HYPERLINK("http://141.218.60.56/~jnz1568/getInfo.php?workbook=14_06.xlsx&amp;sheet=U0&amp;row=3457&amp;col=7&amp;number=0.013&amp;sourceID=14","0.013")</f>
        <v>0.013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HYPERLINK("http://141.218.60.56/~jnz1568/getInfo.php?workbook=14_06.xlsx&amp;sheet=U0&amp;row=3458&amp;col=6&amp;number=4.4&amp;sourceID=14","4.4")</f>
        <v>4.4</v>
      </c>
      <c r="G3458" s="4" t="str">
        <f>HYPERLINK("http://141.218.60.56/~jnz1568/getInfo.php?workbook=14_06.xlsx&amp;sheet=U0&amp;row=3458&amp;col=7&amp;number=0.013&amp;sourceID=14","0.013")</f>
        <v>0.013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HYPERLINK("http://141.218.60.56/~jnz1568/getInfo.php?workbook=14_06.xlsx&amp;sheet=U0&amp;row=3459&amp;col=6&amp;number=4.5&amp;sourceID=14","4.5")</f>
        <v>4.5</v>
      </c>
      <c r="G3459" s="4" t="str">
        <f>HYPERLINK("http://141.218.60.56/~jnz1568/getInfo.php?workbook=14_06.xlsx&amp;sheet=U0&amp;row=3459&amp;col=7&amp;number=0.013&amp;sourceID=14","0.013")</f>
        <v>0.013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HYPERLINK("http://141.218.60.56/~jnz1568/getInfo.php?workbook=14_06.xlsx&amp;sheet=U0&amp;row=3460&amp;col=6&amp;number=4.6&amp;sourceID=14","4.6")</f>
        <v>4.6</v>
      </c>
      <c r="G3460" s="4" t="str">
        <f>HYPERLINK("http://141.218.60.56/~jnz1568/getInfo.php?workbook=14_06.xlsx&amp;sheet=U0&amp;row=3460&amp;col=7&amp;number=0.013&amp;sourceID=14","0.013")</f>
        <v>0.013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HYPERLINK("http://141.218.60.56/~jnz1568/getInfo.php?workbook=14_06.xlsx&amp;sheet=U0&amp;row=3461&amp;col=6&amp;number=4.7&amp;sourceID=14","4.7")</f>
        <v>4.7</v>
      </c>
      <c r="G3461" s="4" t="str">
        <f>HYPERLINK("http://141.218.60.56/~jnz1568/getInfo.php?workbook=14_06.xlsx&amp;sheet=U0&amp;row=3461&amp;col=7&amp;number=0.0131&amp;sourceID=14","0.0131")</f>
        <v>0.0131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HYPERLINK("http://141.218.60.56/~jnz1568/getInfo.php?workbook=14_06.xlsx&amp;sheet=U0&amp;row=3462&amp;col=6&amp;number=4.8&amp;sourceID=14","4.8")</f>
        <v>4.8</v>
      </c>
      <c r="G3462" s="4" t="str">
        <f>HYPERLINK("http://141.218.60.56/~jnz1568/getInfo.php?workbook=14_06.xlsx&amp;sheet=U0&amp;row=3462&amp;col=7&amp;number=0.0131&amp;sourceID=14","0.0131")</f>
        <v>0.0131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HYPERLINK("http://141.218.60.56/~jnz1568/getInfo.php?workbook=14_06.xlsx&amp;sheet=U0&amp;row=3463&amp;col=6&amp;number=4.9&amp;sourceID=14","4.9")</f>
        <v>4.9</v>
      </c>
      <c r="G3463" s="4" t="str">
        <f>HYPERLINK("http://141.218.60.56/~jnz1568/getInfo.php?workbook=14_06.xlsx&amp;sheet=U0&amp;row=3463&amp;col=7&amp;number=0.0132&amp;sourceID=14","0.0132")</f>
        <v>0.0132</v>
      </c>
    </row>
    <row r="3464" spans="1:7">
      <c r="A3464" s="3">
        <v>14</v>
      </c>
      <c r="B3464" s="3">
        <v>6</v>
      </c>
      <c r="C3464" s="3">
        <v>4</v>
      </c>
      <c r="D3464" s="3">
        <v>46</v>
      </c>
      <c r="E3464" s="3">
        <v>1</v>
      </c>
      <c r="F3464" s="4" t="str">
        <f>HYPERLINK("http://141.218.60.56/~jnz1568/getInfo.php?workbook=14_06.xlsx&amp;sheet=U0&amp;row=3464&amp;col=6&amp;number=3&amp;sourceID=14","3")</f>
        <v>3</v>
      </c>
      <c r="G3464" s="4" t="str">
        <f>HYPERLINK("http://141.218.60.56/~jnz1568/getInfo.php?workbook=14_06.xlsx&amp;sheet=U0&amp;row=3464&amp;col=7&amp;number=0.466&amp;sourceID=14","0.466")</f>
        <v>0.466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HYPERLINK("http://141.218.60.56/~jnz1568/getInfo.php?workbook=14_06.xlsx&amp;sheet=U0&amp;row=3465&amp;col=6&amp;number=3.1&amp;sourceID=14","3.1")</f>
        <v>3.1</v>
      </c>
      <c r="G3465" s="4" t="str">
        <f>HYPERLINK("http://141.218.60.56/~jnz1568/getInfo.php?workbook=14_06.xlsx&amp;sheet=U0&amp;row=3465&amp;col=7&amp;number=0.466&amp;sourceID=14","0.466")</f>
        <v>0.466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HYPERLINK("http://141.218.60.56/~jnz1568/getInfo.php?workbook=14_06.xlsx&amp;sheet=U0&amp;row=3466&amp;col=6&amp;number=3.2&amp;sourceID=14","3.2")</f>
        <v>3.2</v>
      </c>
      <c r="G3466" s="4" t="str">
        <f>HYPERLINK("http://141.218.60.56/~jnz1568/getInfo.php?workbook=14_06.xlsx&amp;sheet=U0&amp;row=3466&amp;col=7&amp;number=0.466&amp;sourceID=14","0.466")</f>
        <v>0.466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HYPERLINK("http://141.218.60.56/~jnz1568/getInfo.php?workbook=14_06.xlsx&amp;sheet=U0&amp;row=3467&amp;col=6&amp;number=3.3&amp;sourceID=14","3.3")</f>
        <v>3.3</v>
      </c>
      <c r="G3467" s="4" t="str">
        <f>HYPERLINK("http://141.218.60.56/~jnz1568/getInfo.php?workbook=14_06.xlsx&amp;sheet=U0&amp;row=3467&amp;col=7&amp;number=0.466&amp;sourceID=14","0.466")</f>
        <v>0.466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HYPERLINK("http://141.218.60.56/~jnz1568/getInfo.php?workbook=14_06.xlsx&amp;sheet=U0&amp;row=3468&amp;col=6&amp;number=3.4&amp;sourceID=14","3.4")</f>
        <v>3.4</v>
      </c>
      <c r="G3468" s="4" t="str">
        <f>HYPERLINK("http://141.218.60.56/~jnz1568/getInfo.php?workbook=14_06.xlsx&amp;sheet=U0&amp;row=3468&amp;col=7&amp;number=0.466&amp;sourceID=14","0.466")</f>
        <v>0.466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HYPERLINK("http://141.218.60.56/~jnz1568/getInfo.php?workbook=14_06.xlsx&amp;sheet=U0&amp;row=3469&amp;col=6&amp;number=3.5&amp;sourceID=14","3.5")</f>
        <v>3.5</v>
      </c>
      <c r="G3469" s="4" t="str">
        <f>HYPERLINK("http://141.218.60.56/~jnz1568/getInfo.php?workbook=14_06.xlsx&amp;sheet=U0&amp;row=3469&amp;col=7&amp;number=0.466&amp;sourceID=14","0.466")</f>
        <v>0.466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HYPERLINK("http://141.218.60.56/~jnz1568/getInfo.php?workbook=14_06.xlsx&amp;sheet=U0&amp;row=3470&amp;col=6&amp;number=3.6&amp;sourceID=14","3.6")</f>
        <v>3.6</v>
      </c>
      <c r="G3470" s="4" t="str">
        <f>HYPERLINK("http://141.218.60.56/~jnz1568/getInfo.php?workbook=14_06.xlsx&amp;sheet=U0&amp;row=3470&amp;col=7&amp;number=0.466&amp;sourceID=14","0.466")</f>
        <v>0.466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HYPERLINK("http://141.218.60.56/~jnz1568/getInfo.php?workbook=14_06.xlsx&amp;sheet=U0&amp;row=3471&amp;col=6&amp;number=3.7&amp;sourceID=14","3.7")</f>
        <v>3.7</v>
      </c>
      <c r="G3471" s="4" t="str">
        <f>HYPERLINK("http://141.218.60.56/~jnz1568/getInfo.php?workbook=14_06.xlsx&amp;sheet=U0&amp;row=3471&amp;col=7&amp;number=0.467&amp;sourceID=14","0.467")</f>
        <v>0.467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HYPERLINK("http://141.218.60.56/~jnz1568/getInfo.php?workbook=14_06.xlsx&amp;sheet=U0&amp;row=3472&amp;col=6&amp;number=3.8&amp;sourceID=14","3.8")</f>
        <v>3.8</v>
      </c>
      <c r="G3472" s="4" t="str">
        <f>HYPERLINK("http://141.218.60.56/~jnz1568/getInfo.php?workbook=14_06.xlsx&amp;sheet=U0&amp;row=3472&amp;col=7&amp;number=0.467&amp;sourceID=14","0.467")</f>
        <v>0.467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HYPERLINK("http://141.218.60.56/~jnz1568/getInfo.php?workbook=14_06.xlsx&amp;sheet=U0&amp;row=3473&amp;col=6&amp;number=3.9&amp;sourceID=14","3.9")</f>
        <v>3.9</v>
      </c>
      <c r="G3473" s="4" t="str">
        <f>HYPERLINK("http://141.218.60.56/~jnz1568/getInfo.php?workbook=14_06.xlsx&amp;sheet=U0&amp;row=3473&amp;col=7&amp;number=0.467&amp;sourceID=14","0.467")</f>
        <v>0.467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HYPERLINK("http://141.218.60.56/~jnz1568/getInfo.php?workbook=14_06.xlsx&amp;sheet=U0&amp;row=3474&amp;col=6&amp;number=4&amp;sourceID=14","4")</f>
        <v>4</v>
      </c>
      <c r="G3474" s="4" t="str">
        <f>HYPERLINK("http://141.218.60.56/~jnz1568/getInfo.php?workbook=14_06.xlsx&amp;sheet=U0&amp;row=3474&amp;col=7&amp;number=0.468&amp;sourceID=14","0.468")</f>
        <v>0.468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HYPERLINK("http://141.218.60.56/~jnz1568/getInfo.php?workbook=14_06.xlsx&amp;sheet=U0&amp;row=3475&amp;col=6&amp;number=4.1&amp;sourceID=14","4.1")</f>
        <v>4.1</v>
      </c>
      <c r="G3475" s="4" t="str">
        <f>HYPERLINK("http://141.218.60.56/~jnz1568/getInfo.php?workbook=14_06.xlsx&amp;sheet=U0&amp;row=3475&amp;col=7&amp;number=0.469&amp;sourceID=14","0.469")</f>
        <v>0.469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HYPERLINK("http://141.218.60.56/~jnz1568/getInfo.php?workbook=14_06.xlsx&amp;sheet=U0&amp;row=3476&amp;col=6&amp;number=4.2&amp;sourceID=14","4.2")</f>
        <v>4.2</v>
      </c>
      <c r="G3476" s="4" t="str">
        <f>HYPERLINK("http://141.218.60.56/~jnz1568/getInfo.php?workbook=14_06.xlsx&amp;sheet=U0&amp;row=3476&amp;col=7&amp;number=0.469&amp;sourceID=14","0.469")</f>
        <v>0.469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HYPERLINK("http://141.218.60.56/~jnz1568/getInfo.php?workbook=14_06.xlsx&amp;sheet=U0&amp;row=3477&amp;col=6&amp;number=4.3&amp;sourceID=14","4.3")</f>
        <v>4.3</v>
      </c>
      <c r="G3477" s="4" t="str">
        <f>HYPERLINK("http://141.218.60.56/~jnz1568/getInfo.php?workbook=14_06.xlsx&amp;sheet=U0&amp;row=3477&amp;col=7&amp;number=0.471&amp;sourceID=14","0.471")</f>
        <v>0.471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HYPERLINK("http://141.218.60.56/~jnz1568/getInfo.php?workbook=14_06.xlsx&amp;sheet=U0&amp;row=3478&amp;col=6&amp;number=4.4&amp;sourceID=14","4.4")</f>
        <v>4.4</v>
      </c>
      <c r="G3478" s="4" t="str">
        <f>HYPERLINK("http://141.218.60.56/~jnz1568/getInfo.php?workbook=14_06.xlsx&amp;sheet=U0&amp;row=3478&amp;col=7&amp;number=0.472&amp;sourceID=14","0.472")</f>
        <v>0.472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HYPERLINK("http://141.218.60.56/~jnz1568/getInfo.php?workbook=14_06.xlsx&amp;sheet=U0&amp;row=3479&amp;col=6&amp;number=4.5&amp;sourceID=14","4.5")</f>
        <v>4.5</v>
      </c>
      <c r="G3479" s="4" t="str">
        <f>HYPERLINK("http://141.218.60.56/~jnz1568/getInfo.php?workbook=14_06.xlsx&amp;sheet=U0&amp;row=3479&amp;col=7&amp;number=0.474&amp;sourceID=14","0.474")</f>
        <v>0.474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HYPERLINK("http://141.218.60.56/~jnz1568/getInfo.php?workbook=14_06.xlsx&amp;sheet=U0&amp;row=3480&amp;col=6&amp;number=4.6&amp;sourceID=14","4.6")</f>
        <v>4.6</v>
      </c>
      <c r="G3480" s="4" t="str">
        <f>HYPERLINK("http://141.218.60.56/~jnz1568/getInfo.php?workbook=14_06.xlsx&amp;sheet=U0&amp;row=3480&amp;col=7&amp;number=0.476&amp;sourceID=14","0.476")</f>
        <v>0.476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HYPERLINK("http://141.218.60.56/~jnz1568/getInfo.php?workbook=14_06.xlsx&amp;sheet=U0&amp;row=3481&amp;col=6&amp;number=4.7&amp;sourceID=14","4.7")</f>
        <v>4.7</v>
      </c>
      <c r="G3481" s="4" t="str">
        <f>HYPERLINK("http://141.218.60.56/~jnz1568/getInfo.php?workbook=14_06.xlsx&amp;sheet=U0&amp;row=3481&amp;col=7&amp;number=0.478&amp;sourceID=14","0.478")</f>
        <v>0.478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HYPERLINK("http://141.218.60.56/~jnz1568/getInfo.php?workbook=14_06.xlsx&amp;sheet=U0&amp;row=3482&amp;col=6&amp;number=4.8&amp;sourceID=14","4.8")</f>
        <v>4.8</v>
      </c>
      <c r="G3482" s="4" t="str">
        <f>HYPERLINK("http://141.218.60.56/~jnz1568/getInfo.php?workbook=14_06.xlsx&amp;sheet=U0&amp;row=3482&amp;col=7&amp;number=0.482&amp;sourceID=14","0.482")</f>
        <v>0.482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HYPERLINK("http://141.218.60.56/~jnz1568/getInfo.php?workbook=14_06.xlsx&amp;sheet=U0&amp;row=3483&amp;col=6&amp;number=4.9&amp;sourceID=14","4.9")</f>
        <v>4.9</v>
      </c>
      <c r="G3483" s="4" t="str">
        <f>HYPERLINK("http://141.218.60.56/~jnz1568/getInfo.php?workbook=14_06.xlsx&amp;sheet=U0&amp;row=3483&amp;col=7&amp;number=0.486&amp;sourceID=14","0.486")</f>
        <v>0.486</v>
      </c>
    </row>
    <row r="3484" spans="1:7">
      <c r="A3484" s="3">
        <v>14</v>
      </c>
      <c r="B3484" s="3">
        <v>6</v>
      </c>
      <c r="C3484" s="3">
        <v>5</v>
      </c>
      <c r="D3484" s="3">
        <v>6</v>
      </c>
      <c r="E3484" s="3">
        <v>1</v>
      </c>
      <c r="F3484" s="4" t="str">
        <f>HYPERLINK("http://141.218.60.56/~jnz1568/getInfo.php?workbook=14_06.xlsx&amp;sheet=U0&amp;row=3484&amp;col=6&amp;number=3&amp;sourceID=14","3")</f>
        <v>3</v>
      </c>
      <c r="G3484" s="4" t="str">
        <f>HYPERLINK("http://141.218.60.56/~jnz1568/getInfo.php?workbook=14_06.xlsx&amp;sheet=U0&amp;row=3484&amp;col=7&amp;number=8.93e-06&amp;sourceID=14","8.93e-06")</f>
        <v>8.93e-06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HYPERLINK("http://141.218.60.56/~jnz1568/getInfo.php?workbook=14_06.xlsx&amp;sheet=U0&amp;row=3485&amp;col=6&amp;number=3.1&amp;sourceID=14","3.1")</f>
        <v>3.1</v>
      </c>
      <c r="G3485" s="4" t="str">
        <f>HYPERLINK("http://141.218.60.56/~jnz1568/getInfo.php?workbook=14_06.xlsx&amp;sheet=U0&amp;row=3485&amp;col=7&amp;number=8.93e-06&amp;sourceID=14","8.93e-06")</f>
        <v>8.93e-06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HYPERLINK("http://141.218.60.56/~jnz1568/getInfo.php?workbook=14_06.xlsx&amp;sheet=U0&amp;row=3486&amp;col=6&amp;number=3.2&amp;sourceID=14","3.2")</f>
        <v>3.2</v>
      </c>
      <c r="G3486" s="4" t="str">
        <f>HYPERLINK("http://141.218.60.56/~jnz1568/getInfo.php?workbook=14_06.xlsx&amp;sheet=U0&amp;row=3486&amp;col=7&amp;number=8.93e-06&amp;sourceID=14","8.93e-06")</f>
        <v>8.93e-06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HYPERLINK("http://141.218.60.56/~jnz1568/getInfo.php?workbook=14_06.xlsx&amp;sheet=U0&amp;row=3487&amp;col=6&amp;number=3.3&amp;sourceID=14","3.3")</f>
        <v>3.3</v>
      </c>
      <c r="G3487" s="4" t="str">
        <f>HYPERLINK("http://141.218.60.56/~jnz1568/getInfo.php?workbook=14_06.xlsx&amp;sheet=U0&amp;row=3487&amp;col=7&amp;number=8.93e-06&amp;sourceID=14","8.93e-06")</f>
        <v>8.93e-06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HYPERLINK("http://141.218.60.56/~jnz1568/getInfo.php?workbook=14_06.xlsx&amp;sheet=U0&amp;row=3488&amp;col=6&amp;number=3.4&amp;sourceID=14","3.4")</f>
        <v>3.4</v>
      </c>
      <c r="G3488" s="4" t="str">
        <f>HYPERLINK("http://141.218.60.56/~jnz1568/getInfo.php?workbook=14_06.xlsx&amp;sheet=U0&amp;row=3488&amp;col=7&amp;number=8.92e-06&amp;sourceID=14","8.92e-06")</f>
        <v>8.92e-06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HYPERLINK("http://141.218.60.56/~jnz1568/getInfo.php?workbook=14_06.xlsx&amp;sheet=U0&amp;row=3489&amp;col=6&amp;number=3.5&amp;sourceID=14","3.5")</f>
        <v>3.5</v>
      </c>
      <c r="G3489" s="4" t="str">
        <f>HYPERLINK("http://141.218.60.56/~jnz1568/getInfo.php?workbook=14_06.xlsx&amp;sheet=U0&amp;row=3489&amp;col=7&amp;number=8.92e-06&amp;sourceID=14","8.92e-06")</f>
        <v>8.92e-06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HYPERLINK("http://141.218.60.56/~jnz1568/getInfo.php?workbook=14_06.xlsx&amp;sheet=U0&amp;row=3490&amp;col=6&amp;number=3.6&amp;sourceID=14","3.6")</f>
        <v>3.6</v>
      </c>
      <c r="G3490" s="4" t="str">
        <f>HYPERLINK("http://141.218.60.56/~jnz1568/getInfo.php?workbook=14_06.xlsx&amp;sheet=U0&amp;row=3490&amp;col=7&amp;number=8.92e-06&amp;sourceID=14","8.92e-06")</f>
        <v>8.92e-06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HYPERLINK("http://141.218.60.56/~jnz1568/getInfo.php?workbook=14_06.xlsx&amp;sheet=U0&amp;row=3491&amp;col=6&amp;number=3.7&amp;sourceID=14","3.7")</f>
        <v>3.7</v>
      </c>
      <c r="G3491" s="4" t="str">
        <f>HYPERLINK("http://141.218.60.56/~jnz1568/getInfo.php?workbook=14_06.xlsx&amp;sheet=U0&amp;row=3491&amp;col=7&amp;number=8.92e-06&amp;sourceID=14","8.92e-06")</f>
        <v>8.92e-06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HYPERLINK("http://141.218.60.56/~jnz1568/getInfo.php?workbook=14_06.xlsx&amp;sheet=U0&amp;row=3492&amp;col=6&amp;number=3.8&amp;sourceID=14","3.8")</f>
        <v>3.8</v>
      </c>
      <c r="G3492" s="4" t="str">
        <f>HYPERLINK("http://141.218.60.56/~jnz1568/getInfo.php?workbook=14_06.xlsx&amp;sheet=U0&amp;row=3492&amp;col=7&amp;number=8.92e-06&amp;sourceID=14","8.92e-06")</f>
        <v>8.92e-06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HYPERLINK("http://141.218.60.56/~jnz1568/getInfo.php?workbook=14_06.xlsx&amp;sheet=U0&amp;row=3493&amp;col=6&amp;number=3.9&amp;sourceID=14","3.9")</f>
        <v>3.9</v>
      </c>
      <c r="G3493" s="4" t="str">
        <f>HYPERLINK("http://141.218.60.56/~jnz1568/getInfo.php?workbook=14_06.xlsx&amp;sheet=U0&amp;row=3493&amp;col=7&amp;number=8.91e-06&amp;sourceID=14","8.91e-06")</f>
        <v>8.91e-06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HYPERLINK("http://141.218.60.56/~jnz1568/getInfo.php?workbook=14_06.xlsx&amp;sheet=U0&amp;row=3494&amp;col=6&amp;number=4&amp;sourceID=14","4")</f>
        <v>4</v>
      </c>
      <c r="G3494" s="4" t="str">
        <f>HYPERLINK("http://141.218.60.56/~jnz1568/getInfo.php?workbook=14_06.xlsx&amp;sheet=U0&amp;row=3494&amp;col=7&amp;number=8.91e-06&amp;sourceID=14","8.91e-06")</f>
        <v>8.91e-06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HYPERLINK("http://141.218.60.56/~jnz1568/getInfo.php?workbook=14_06.xlsx&amp;sheet=U0&amp;row=3495&amp;col=6&amp;number=4.1&amp;sourceID=14","4.1")</f>
        <v>4.1</v>
      </c>
      <c r="G3495" s="4" t="str">
        <f>HYPERLINK("http://141.218.60.56/~jnz1568/getInfo.php?workbook=14_06.xlsx&amp;sheet=U0&amp;row=3495&amp;col=7&amp;number=8.91e-06&amp;sourceID=14","8.91e-06")</f>
        <v>8.91e-06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HYPERLINK("http://141.218.60.56/~jnz1568/getInfo.php?workbook=14_06.xlsx&amp;sheet=U0&amp;row=3496&amp;col=6&amp;number=4.2&amp;sourceID=14","4.2")</f>
        <v>4.2</v>
      </c>
      <c r="G3496" s="4" t="str">
        <f>HYPERLINK("http://141.218.60.56/~jnz1568/getInfo.php?workbook=14_06.xlsx&amp;sheet=U0&amp;row=3496&amp;col=7&amp;number=8.9e-06&amp;sourceID=14","8.9e-06")</f>
        <v>8.9e-06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HYPERLINK("http://141.218.60.56/~jnz1568/getInfo.php?workbook=14_06.xlsx&amp;sheet=U0&amp;row=3497&amp;col=6&amp;number=4.3&amp;sourceID=14","4.3")</f>
        <v>4.3</v>
      </c>
      <c r="G3497" s="4" t="str">
        <f>HYPERLINK("http://141.218.60.56/~jnz1568/getInfo.php?workbook=14_06.xlsx&amp;sheet=U0&amp;row=3497&amp;col=7&amp;number=8.89e-06&amp;sourceID=14","8.89e-06")</f>
        <v>8.89e-06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HYPERLINK("http://141.218.60.56/~jnz1568/getInfo.php?workbook=14_06.xlsx&amp;sheet=U0&amp;row=3498&amp;col=6&amp;number=4.4&amp;sourceID=14","4.4")</f>
        <v>4.4</v>
      </c>
      <c r="G3498" s="4" t="str">
        <f>HYPERLINK("http://141.218.60.56/~jnz1568/getInfo.php?workbook=14_06.xlsx&amp;sheet=U0&amp;row=3498&amp;col=7&amp;number=8.88e-06&amp;sourceID=14","8.88e-06")</f>
        <v>8.88e-06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HYPERLINK("http://141.218.60.56/~jnz1568/getInfo.php?workbook=14_06.xlsx&amp;sheet=U0&amp;row=3499&amp;col=6&amp;number=4.5&amp;sourceID=14","4.5")</f>
        <v>4.5</v>
      </c>
      <c r="G3499" s="4" t="str">
        <f>HYPERLINK("http://141.218.60.56/~jnz1568/getInfo.php?workbook=14_06.xlsx&amp;sheet=U0&amp;row=3499&amp;col=7&amp;number=8.87e-06&amp;sourceID=14","8.87e-06")</f>
        <v>8.87e-06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HYPERLINK("http://141.218.60.56/~jnz1568/getInfo.php?workbook=14_06.xlsx&amp;sheet=U0&amp;row=3500&amp;col=6&amp;number=4.6&amp;sourceID=14","4.6")</f>
        <v>4.6</v>
      </c>
      <c r="G3500" s="4" t="str">
        <f>HYPERLINK("http://141.218.60.56/~jnz1568/getInfo.php?workbook=14_06.xlsx&amp;sheet=U0&amp;row=3500&amp;col=7&amp;number=8.86e-06&amp;sourceID=14","8.86e-06")</f>
        <v>8.86e-06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HYPERLINK("http://141.218.60.56/~jnz1568/getInfo.php?workbook=14_06.xlsx&amp;sheet=U0&amp;row=3501&amp;col=6&amp;number=4.7&amp;sourceID=14","4.7")</f>
        <v>4.7</v>
      </c>
      <c r="G3501" s="4" t="str">
        <f>HYPERLINK("http://141.218.60.56/~jnz1568/getInfo.php?workbook=14_06.xlsx&amp;sheet=U0&amp;row=3501&amp;col=7&amp;number=8.84e-06&amp;sourceID=14","8.84e-06")</f>
        <v>8.84e-06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HYPERLINK("http://141.218.60.56/~jnz1568/getInfo.php?workbook=14_06.xlsx&amp;sheet=U0&amp;row=3502&amp;col=6&amp;number=4.8&amp;sourceID=14","4.8")</f>
        <v>4.8</v>
      </c>
      <c r="G3502" s="4" t="str">
        <f>HYPERLINK("http://141.218.60.56/~jnz1568/getInfo.php?workbook=14_06.xlsx&amp;sheet=U0&amp;row=3502&amp;col=7&amp;number=8.82e-06&amp;sourceID=14","8.82e-06")</f>
        <v>8.82e-06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HYPERLINK("http://141.218.60.56/~jnz1568/getInfo.php?workbook=14_06.xlsx&amp;sheet=U0&amp;row=3503&amp;col=6&amp;number=4.9&amp;sourceID=14","4.9")</f>
        <v>4.9</v>
      </c>
      <c r="G3503" s="4" t="str">
        <f>HYPERLINK("http://141.218.60.56/~jnz1568/getInfo.php?workbook=14_06.xlsx&amp;sheet=U0&amp;row=3503&amp;col=7&amp;number=8.79e-06&amp;sourceID=14","8.79e-06")</f>
        <v>8.79e-06</v>
      </c>
    </row>
    <row r="3504" spans="1:7">
      <c r="A3504" s="3">
        <v>14</v>
      </c>
      <c r="B3504" s="3">
        <v>6</v>
      </c>
      <c r="C3504" s="3">
        <v>5</v>
      </c>
      <c r="D3504" s="3">
        <v>7</v>
      </c>
      <c r="E3504" s="3">
        <v>1</v>
      </c>
      <c r="F3504" s="4" t="str">
        <f>HYPERLINK("http://141.218.60.56/~jnz1568/getInfo.php?workbook=14_06.xlsx&amp;sheet=U0&amp;row=3504&amp;col=6&amp;number=3&amp;sourceID=14","3")</f>
        <v>3</v>
      </c>
      <c r="G3504" s="4" t="str">
        <f>HYPERLINK("http://141.218.60.56/~jnz1568/getInfo.php?workbook=14_06.xlsx&amp;sheet=U0&amp;row=3504&amp;col=7&amp;number=6.87e-05&amp;sourceID=14","6.87e-05")</f>
        <v>6.87e-05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HYPERLINK("http://141.218.60.56/~jnz1568/getInfo.php?workbook=14_06.xlsx&amp;sheet=U0&amp;row=3505&amp;col=6&amp;number=3.1&amp;sourceID=14","3.1")</f>
        <v>3.1</v>
      </c>
      <c r="G3505" s="4" t="str">
        <f>HYPERLINK("http://141.218.60.56/~jnz1568/getInfo.php?workbook=14_06.xlsx&amp;sheet=U0&amp;row=3505&amp;col=7&amp;number=6.87e-05&amp;sourceID=14","6.87e-05")</f>
        <v>6.87e-05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HYPERLINK("http://141.218.60.56/~jnz1568/getInfo.php?workbook=14_06.xlsx&amp;sheet=U0&amp;row=3506&amp;col=6&amp;number=3.2&amp;sourceID=14","3.2")</f>
        <v>3.2</v>
      </c>
      <c r="G3506" s="4" t="str">
        <f>HYPERLINK("http://141.218.60.56/~jnz1568/getInfo.php?workbook=14_06.xlsx&amp;sheet=U0&amp;row=3506&amp;col=7&amp;number=6.87e-05&amp;sourceID=14","6.87e-05")</f>
        <v>6.87e-05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HYPERLINK("http://141.218.60.56/~jnz1568/getInfo.php?workbook=14_06.xlsx&amp;sheet=U0&amp;row=3507&amp;col=6&amp;number=3.3&amp;sourceID=14","3.3")</f>
        <v>3.3</v>
      </c>
      <c r="G3507" s="4" t="str">
        <f>HYPERLINK("http://141.218.60.56/~jnz1568/getInfo.php?workbook=14_06.xlsx&amp;sheet=U0&amp;row=3507&amp;col=7&amp;number=6.86e-05&amp;sourceID=14","6.86e-05")</f>
        <v>6.86e-05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HYPERLINK("http://141.218.60.56/~jnz1568/getInfo.php?workbook=14_06.xlsx&amp;sheet=U0&amp;row=3508&amp;col=6&amp;number=3.4&amp;sourceID=14","3.4")</f>
        <v>3.4</v>
      </c>
      <c r="G3508" s="4" t="str">
        <f>HYPERLINK("http://141.218.60.56/~jnz1568/getInfo.php?workbook=14_06.xlsx&amp;sheet=U0&amp;row=3508&amp;col=7&amp;number=6.86e-05&amp;sourceID=14","6.86e-05")</f>
        <v>6.86e-05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HYPERLINK("http://141.218.60.56/~jnz1568/getInfo.php?workbook=14_06.xlsx&amp;sheet=U0&amp;row=3509&amp;col=6&amp;number=3.5&amp;sourceID=14","3.5")</f>
        <v>3.5</v>
      </c>
      <c r="G3509" s="4" t="str">
        <f>HYPERLINK("http://141.218.60.56/~jnz1568/getInfo.php?workbook=14_06.xlsx&amp;sheet=U0&amp;row=3509&amp;col=7&amp;number=6.86e-05&amp;sourceID=14","6.86e-05")</f>
        <v>6.86e-05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HYPERLINK("http://141.218.60.56/~jnz1568/getInfo.php?workbook=14_06.xlsx&amp;sheet=U0&amp;row=3510&amp;col=6&amp;number=3.6&amp;sourceID=14","3.6")</f>
        <v>3.6</v>
      </c>
      <c r="G3510" s="4" t="str">
        <f>HYPERLINK("http://141.218.60.56/~jnz1568/getInfo.php?workbook=14_06.xlsx&amp;sheet=U0&amp;row=3510&amp;col=7&amp;number=6.86e-05&amp;sourceID=14","6.86e-05")</f>
        <v>6.86e-05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HYPERLINK("http://141.218.60.56/~jnz1568/getInfo.php?workbook=14_06.xlsx&amp;sheet=U0&amp;row=3511&amp;col=6&amp;number=3.7&amp;sourceID=14","3.7")</f>
        <v>3.7</v>
      </c>
      <c r="G3511" s="4" t="str">
        <f>HYPERLINK("http://141.218.60.56/~jnz1568/getInfo.php?workbook=14_06.xlsx&amp;sheet=U0&amp;row=3511&amp;col=7&amp;number=6.86e-05&amp;sourceID=14","6.86e-05")</f>
        <v>6.86e-05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HYPERLINK("http://141.218.60.56/~jnz1568/getInfo.php?workbook=14_06.xlsx&amp;sheet=U0&amp;row=3512&amp;col=6&amp;number=3.8&amp;sourceID=14","3.8")</f>
        <v>3.8</v>
      </c>
      <c r="G3512" s="4" t="str">
        <f>HYPERLINK("http://141.218.60.56/~jnz1568/getInfo.php?workbook=14_06.xlsx&amp;sheet=U0&amp;row=3512&amp;col=7&amp;number=6.86e-05&amp;sourceID=14","6.86e-05")</f>
        <v>6.86e-05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HYPERLINK("http://141.218.60.56/~jnz1568/getInfo.php?workbook=14_06.xlsx&amp;sheet=U0&amp;row=3513&amp;col=6&amp;number=3.9&amp;sourceID=14","3.9")</f>
        <v>3.9</v>
      </c>
      <c r="G3513" s="4" t="str">
        <f>HYPERLINK("http://141.218.60.56/~jnz1568/getInfo.php?workbook=14_06.xlsx&amp;sheet=U0&amp;row=3513&amp;col=7&amp;number=6.86e-05&amp;sourceID=14","6.86e-05")</f>
        <v>6.86e-05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HYPERLINK("http://141.218.60.56/~jnz1568/getInfo.php?workbook=14_06.xlsx&amp;sheet=U0&amp;row=3514&amp;col=6&amp;number=4&amp;sourceID=14","4")</f>
        <v>4</v>
      </c>
      <c r="G3514" s="4" t="str">
        <f>HYPERLINK("http://141.218.60.56/~jnz1568/getInfo.php?workbook=14_06.xlsx&amp;sheet=U0&amp;row=3514&amp;col=7&amp;number=6.85e-05&amp;sourceID=14","6.85e-05")</f>
        <v>6.85e-05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HYPERLINK("http://141.218.60.56/~jnz1568/getInfo.php?workbook=14_06.xlsx&amp;sheet=U0&amp;row=3515&amp;col=6&amp;number=4.1&amp;sourceID=14","4.1")</f>
        <v>4.1</v>
      </c>
      <c r="G3515" s="4" t="str">
        <f>HYPERLINK("http://141.218.60.56/~jnz1568/getInfo.php?workbook=14_06.xlsx&amp;sheet=U0&amp;row=3515&amp;col=7&amp;number=6.85e-05&amp;sourceID=14","6.85e-05")</f>
        <v>6.85e-05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HYPERLINK("http://141.218.60.56/~jnz1568/getInfo.php?workbook=14_06.xlsx&amp;sheet=U0&amp;row=3516&amp;col=6&amp;number=4.2&amp;sourceID=14","4.2")</f>
        <v>4.2</v>
      </c>
      <c r="G3516" s="4" t="str">
        <f>HYPERLINK("http://141.218.60.56/~jnz1568/getInfo.php?workbook=14_06.xlsx&amp;sheet=U0&amp;row=3516&amp;col=7&amp;number=6.84e-05&amp;sourceID=14","6.84e-05")</f>
        <v>6.84e-05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HYPERLINK("http://141.218.60.56/~jnz1568/getInfo.php?workbook=14_06.xlsx&amp;sheet=U0&amp;row=3517&amp;col=6&amp;number=4.3&amp;sourceID=14","4.3")</f>
        <v>4.3</v>
      </c>
      <c r="G3517" s="4" t="str">
        <f>HYPERLINK("http://141.218.60.56/~jnz1568/getInfo.php?workbook=14_06.xlsx&amp;sheet=U0&amp;row=3517&amp;col=7&amp;number=6.84e-05&amp;sourceID=14","6.84e-05")</f>
        <v>6.84e-05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HYPERLINK("http://141.218.60.56/~jnz1568/getInfo.php?workbook=14_06.xlsx&amp;sheet=U0&amp;row=3518&amp;col=6&amp;number=4.4&amp;sourceID=14","4.4")</f>
        <v>4.4</v>
      </c>
      <c r="G3518" s="4" t="str">
        <f>HYPERLINK("http://141.218.60.56/~jnz1568/getInfo.php?workbook=14_06.xlsx&amp;sheet=U0&amp;row=3518&amp;col=7&amp;number=6.83e-05&amp;sourceID=14","6.83e-05")</f>
        <v>6.83e-05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HYPERLINK("http://141.218.60.56/~jnz1568/getInfo.php?workbook=14_06.xlsx&amp;sheet=U0&amp;row=3519&amp;col=6&amp;number=4.5&amp;sourceID=14","4.5")</f>
        <v>4.5</v>
      </c>
      <c r="G3519" s="4" t="str">
        <f>HYPERLINK("http://141.218.60.56/~jnz1568/getInfo.php?workbook=14_06.xlsx&amp;sheet=U0&amp;row=3519&amp;col=7&amp;number=6.82e-05&amp;sourceID=14","6.82e-05")</f>
        <v>6.82e-05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HYPERLINK("http://141.218.60.56/~jnz1568/getInfo.php?workbook=14_06.xlsx&amp;sheet=U0&amp;row=3520&amp;col=6&amp;number=4.6&amp;sourceID=14","4.6")</f>
        <v>4.6</v>
      </c>
      <c r="G3520" s="4" t="str">
        <f>HYPERLINK("http://141.218.60.56/~jnz1568/getInfo.php?workbook=14_06.xlsx&amp;sheet=U0&amp;row=3520&amp;col=7&amp;number=6.81e-05&amp;sourceID=14","6.81e-05")</f>
        <v>6.81e-05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HYPERLINK("http://141.218.60.56/~jnz1568/getInfo.php?workbook=14_06.xlsx&amp;sheet=U0&amp;row=3521&amp;col=6&amp;number=4.7&amp;sourceID=14","4.7")</f>
        <v>4.7</v>
      </c>
      <c r="G3521" s="4" t="str">
        <f>HYPERLINK("http://141.218.60.56/~jnz1568/getInfo.php?workbook=14_06.xlsx&amp;sheet=U0&amp;row=3521&amp;col=7&amp;number=6.79e-05&amp;sourceID=14","6.79e-05")</f>
        <v>6.79e-05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HYPERLINK("http://141.218.60.56/~jnz1568/getInfo.php?workbook=14_06.xlsx&amp;sheet=U0&amp;row=3522&amp;col=6&amp;number=4.8&amp;sourceID=14","4.8")</f>
        <v>4.8</v>
      </c>
      <c r="G3522" s="4" t="str">
        <f>HYPERLINK("http://141.218.60.56/~jnz1568/getInfo.php?workbook=14_06.xlsx&amp;sheet=U0&amp;row=3522&amp;col=7&amp;number=6.77e-05&amp;sourceID=14","6.77e-05")</f>
        <v>6.77e-05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HYPERLINK("http://141.218.60.56/~jnz1568/getInfo.php?workbook=14_06.xlsx&amp;sheet=U0&amp;row=3523&amp;col=6&amp;number=4.9&amp;sourceID=14","4.9")</f>
        <v>4.9</v>
      </c>
      <c r="G3523" s="4" t="str">
        <f>HYPERLINK("http://141.218.60.56/~jnz1568/getInfo.php?workbook=14_06.xlsx&amp;sheet=U0&amp;row=3523&amp;col=7&amp;number=6.75e-05&amp;sourceID=14","6.75e-05")</f>
        <v>6.75e-05</v>
      </c>
    </row>
    <row r="3524" spans="1:7">
      <c r="A3524" s="3">
        <v>14</v>
      </c>
      <c r="B3524" s="3">
        <v>6</v>
      </c>
      <c r="C3524" s="3">
        <v>5</v>
      </c>
      <c r="D3524" s="3">
        <v>8</v>
      </c>
      <c r="E3524" s="3">
        <v>1</v>
      </c>
      <c r="F3524" s="4" t="str">
        <f>HYPERLINK("http://141.218.60.56/~jnz1568/getInfo.php?workbook=14_06.xlsx&amp;sheet=U0&amp;row=3524&amp;col=6&amp;number=3&amp;sourceID=14","3")</f>
        <v>3</v>
      </c>
      <c r="G3524" s="4" t="str">
        <f>HYPERLINK("http://141.218.60.56/~jnz1568/getInfo.php?workbook=14_06.xlsx&amp;sheet=U0&amp;row=3524&amp;col=7&amp;number=0.000599&amp;sourceID=14","0.000599")</f>
        <v>0.000599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HYPERLINK("http://141.218.60.56/~jnz1568/getInfo.php?workbook=14_06.xlsx&amp;sheet=U0&amp;row=3525&amp;col=6&amp;number=3.1&amp;sourceID=14","3.1")</f>
        <v>3.1</v>
      </c>
      <c r="G3525" s="4" t="str">
        <f>HYPERLINK("http://141.218.60.56/~jnz1568/getInfo.php?workbook=14_06.xlsx&amp;sheet=U0&amp;row=3525&amp;col=7&amp;number=0.000599&amp;sourceID=14","0.000599")</f>
        <v>0.000599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HYPERLINK("http://141.218.60.56/~jnz1568/getInfo.php?workbook=14_06.xlsx&amp;sheet=U0&amp;row=3526&amp;col=6&amp;number=3.2&amp;sourceID=14","3.2")</f>
        <v>3.2</v>
      </c>
      <c r="G3526" s="4" t="str">
        <f>HYPERLINK("http://141.218.60.56/~jnz1568/getInfo.php?workbook=14_06.xlsx&amp;sheet=U0&amp;row=3526&amp;col=7&amp;number=0.000599&amp;sourceID=14","0.000599")</f>
        <v>0.000599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HYPERLINK("http://141.218.60.56/~jnz1568/getInfo.php?workbook=14_06.xlsx&amp;sheet=U0&amp;row=3527&amp;col=6&amp;number=3.3&amp;sourceID=14","3.3")</f>
        <v>3.3</v>
      </c>
      <c r="G3527" s="4" t="str">
        <f>HYPERLINK("http://141.218.60.56/~jnz1568/getInfo.php?workbook=14_06.xlsx&amp;sheet=U0&amp;row=3527&amp;col=7&amp;number=0.000599&amp;sourceID=14","0.000599")</f>
        <v>0.000599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HYPERLINK("http://141.218.60.56/~jnz1568/getInfo.php?workbook=14_06.xlsx&amp;sheet=U0&amp;row=3528&amp;col=6&amp;number=3.4&amp;sourceID=14","3.4")</f>
        <v>3.4</v>
      </c>
      <c r="G3528" s="4" t="str">
        <f>HYPERLINK("http://141.218.60.56/~jnz1568/getInfo.php?workbook=14_06.xlsx&amp;sheet=U0&amp;row=3528&amp;col=7&amp;number=0.000599&amp;sourceID=14","0.000599")</f>
        <v>0.000599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HYPERLINK("http://141.218.60.56/~jnz1568/getInfo.php?workbook=14_06.xlsx&amp;sheet=U0&amp;row=3529&amp;col=6&amp;number=3.5&amp;sourceID=14","3.5")</f>
        <v>3.5</v>
      </c>
      <c r="G3529" s="4" t="str">
        <f>HYPERLINK("http://141.218.60.56/~jnz1568/getInfo.php?workbook=14_06.xlsx&amp;sheet=U0&amp;row=3529&amp;col=7&amp;number=0.000599&amp;sourceID=14","0.000599")</f>
        <v>0.000599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HYPERLINK("http://141.218.60.56/~jnz1568/getInfo.php?workbook=14_06.xlsx&amp;sheet=U0&amp;row=3530&amp;col=6&amp;number=3.6&amp;sourceID=14","3.6")</f>
        <v>3.6</v>
      </c>
      <c r="G3530" s="4" t="str">
        <f>HYPERLINK("http://141.218.60.56/~jnz1568/getInfo.php?workbook=14_06.xlsx&amp;sheet=U0&amp;row=3530&amp;col=7&amp;number=0.000599&amp;sourceID=14","0.000599")</f>
        <v>0.000599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HYPERLINK("http://141.218.60.56/~jnz1568/getInfo.php?workbook=14_06.xlsx&amp;sheet=U0&amp;row=3531&amp;col=6&amp;number=3.7&amp;sourceID=14","3.7")</f>
        <v>3.7</v>
      </c>
      <c r="G3531" s="4" t="str">
        <f>HYPERLINK("http://141.218.60.56/~jnz1568/getInfo.php?workbook=14_06.xlsx&amp;sheet=U0&amp;row=3531&amp;col=7&amp;number=0.000599&amp;sourceID=14","0.000599")</f>
        <v>0.000599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HYPERLINK("http://141.218.60.56/~jnz1568/getInfo.php?workbook=14_06.xlsx&amp;sheet=U0&amp;row=3532&amp;col=6&amp;number=3.8&amp;sourceID=14","3.8")</f>
        <v>3.8</v>
      </c>
      <c r="G3532" s="4" t="str">
        <f>HYPERLINK("http://141.218.60.56/~jnz1568/getInfo.php?workbook=14_06.xlsx&amp;sheet=U0&amp;row=3532&amp;col=7&amp;number=0.000599&amp;sourceID=14","0.000599")</f>
        <v>0.000599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HYPERLINK("http://141.218.60.56/~jnz1568/getInfo.php?workbook=14_06.xlsx&amp;sheet=U0&amp;row=3533&amp;col=6&amp;number=3.9&amp;sourceID=14","3.9")</f>
        <v>3.9</v>
      </c>
      <c r="G3533" s="4" t="str">
        <f>HYPERLINK("http://141.218.60.56/~jnz1568/getInfo.php?workbook=14_06.xlsx&amp;sheet=U0&amp;row=3533&amp;col=7&amp;number=0.000599&amp;sourceID=14","0.000599")</f>
        <v>0.000599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HYPERLINK("http://141.218.60.56/~jnz1568/getInfo.php?workbook=14_06.xlsx&amp;sheet=U0&amp;row=3534&amp;col=6&amp;number=4&amp;sourceID=14","4")</f>
        <v>4</v>
      </c>
      <c r="G3534" s="4" t="str">
        <f>HYPERLINK("http://141.218.60.56/~jnz1568/getInfo.php?workbook=14_06.xlsx&amp;sheet=U0&amp;row=3534&amp;col=7&amp;number=0.000599&amp;sourceID=14","0.000599")</f>
        <v>0.000599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HYPERLINK("http://141.218.60.56/~jnz1568/getInfo.php?workbook=14_06.xlsx&amp;sheet=U0&amp;row=3535&amp;col=6&amp;number=4.1&amp;sourceID=14","4.1")</f>
        <v>4.1</v>
      </c>
      <c r="G3535" s="4" t="str">
        <f>HYPERLINK("http://141.218.60.56/~jnz1568/getInfo.php?workbook=14_06.xlsx&amp;sheet=U0&amp;row=3535&amp;col=7&amp;number=0.0006&amp;sourceID=14","0.0006")</f>
        <v>0.0006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HYPERLINK("http://141.218.60.56/~jnz1568/getInfo.php?workbook=14_06.xlsx&amp;sheet=U0&amp;row=3536&amp;col=6&amp;number=4.2&amp;sourceID=14","4.2")</f>
        <v>4.2</v>
      </c>
      <c r="G3536" s="4" t="str">
        <f>HYPERLINK("http://141.218.60.56/~jnz1568/getInfo.php?workbook=14_06.xlsx&amp;sheet=U0&amp;row=3536&amp;col=7&amp;number=0.0006&amp;sourceID=14","0.0006")</f>
        <v>0.0006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HYPERLINK("http://141.218.60.56/~jnz1568/getInfo.php?workbook=14_06.xlsx&amp;sheet=U0&amp;row=3537&amp;col=6&amp;number=4.3&amp;sourceID=14","4.3")</f>
        <v>4.3</v>
      </c>
      <c r="G3537" s="4" t="str">
        <f>HYPERLINK("http://141.218.60.56/~jnz1568/getInfo.php?workbook=14_06.xlsx&amp;sheet=U0&amp;row=3537&amp;col=7&amp;number=0.000601&amp;sourceID=14","0.000601")</f>
        <v>0.000601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HYPERLINK("http://141.218.60.56/~jnz1568/getInfo.php?workbook=14_06.xlsx&amp;sheet=U0&amp;row=3538&amp;col=6&amp;number=4.4&amp;sourceID=14","4.4")</f>
        <v>4.4</v>
      </c>
      <c r="G3538" s="4" t="str">
        <f>HYPERLINK("http://141.218.60.56/~jnz1568/getInfo.php?workbook=14_06.xlsx&amp;sheet=U0&amp;row=3538&amp;col=7&amp;number=0.000601&amp;sourceID=14","0.000601")</f>
        <v>0.000601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HYPERLINK("http://141.218.60.56/~jnz1568/getInfo.php?workbook=14_06.xlsx&amp;sheet=U0&amp;row=3539&amp;col=6&amp;number=4.5&amp;sourceID=14","4.5")</f>
        <v>4.5</v>
      </c>
      <c r="G3539" s="4" t="str">
        <f>HYPERLINK("http://141.218.60.56/~jnz1568/getInfo.php?workbook=14_06.xlsx&amp;sheet=U0&amp;row=3539&amp;col=7&amp;number=0.000602&amp;sourceID=14","0.000602")</f>
        <v>0.000602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HYPERLINK("http://141.218.60.56/~jnz1568/getInfo.php?workbook=14_06.xlsx&amp;sheet=U0&amp;row=3540&amp;col=6&amp;number=4.6&amp;sourceID=14","4.6")</f>
        <v>4.6</v>
      </c>
      <c r="G3540" s="4" t="str">
        <f>HYPERLINK("http://141.218.60.56/~jnz1568/getInfo.php?workbook=14_06.xlsx&amp;sheet=U0&amp;row=3540&amp;col=7&amp;number=0.000603&amp;sourceID=14","0.000603")</f>
        <v>0.000603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HYPERLINK("http://141.218.60.56/~jnz1568/getInfo.php?workbook=14_06.xlsx&amp;sheet=U0&amp;row=3541&amp;col=6&amp;number=4.7&amp;sourceID=14","4.7")</f>
        <v>4.7</v>
      </c>
      <c r="G3541" s="4" t="str">
        <f>HYPERLINK("http://141.218.60.56/~jnz1568/getInfo.php?workbook=14_06.xlsx&amp;sheet=U0&amp;row=3541&amp;col=7&amp;number=0.000604&amp;sourceID=14","0.000604")</f>
        <v>0.000604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HYPERLINK("http://141.218.60.56/~jnz1568/getInfo.php?workbook=14_06.xlsx&amp;sheet=U0&amp;row=3542&amp;col=6&amp;number=4.8&amp;sourceID=14","4.8")</f>
        <v>4.8</v>
      </c>
      <c r="G3542" s="4" t="str">
        <f>HYPERLINK("http://141.218.60.56/~jnz1568/getInfo.php?workbook=14_06.xlsx&amp;sheet=U0&amp;row=3542&amp;col=7&amp;number=0.000605&amp;sourceID=14","0.000605")</f>
        <v>0.000605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HYPERLINK("http://141.218.60.56/~jnz1568/getInfo.php?workbook=14_06.xlsx&amp;sheet=U0&amp;row=3543&amp;col=6&amp;number=4.9&amp;sourceID=14","4.9")</f>
        <v>4.9</v>
      </c>
      <c r="G3543" s="4" t="str">
        <f>HYPERLINK("http://141.218.60.56/~jnz1568/getInfo.php?workbook=14_06.xlsx&amp;sheet=U0&amp;row=3543&amp;col=7&amp;number=0.000607&amp;sourceID=14","0.000607")</f>
        <v>0.000607</v>
      </c>
    </row>
    <row r="3544" spans="1:7">
      <c r="A3544" s="3">
        <v>14</v>
      </c>
      <c r="B3544" s="3">
        <v>6</v>
      </c>
      <c r="C3544" s="3">
        <v>5</v>
      </c>
      <c r="D3544" s="3">
        <v>9</v>
      </c>
      <c r="E3544" s="3">
        <v>1</v>
      </c>
      <c r="F3544" s="4" t="str">
        <f>HYPERLINK("http://141.218.60.56/~jnz1568/getInfo.php?workbook=14_06.xlsx&amp;sheet=U0&amp;row=3544&amp;col=6&amp;number=3&amp;sourceID=14","3")</f>
        <v>3</v>
      </c>
      <c r="G3544" s="4" t="str">
        <f>HYPERLINK("http://141.218.60.56/~jnz1568/getInfo.php?workbook=14_06.xlsx&amp;sheet=U0&amp;row=3544&amp;col=7&amp;number=2.36e-05&amp;sourceID=14","2.36e-05")</f>
        <v>2.36e-05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HYPERLINK("http://141.218.60.56/~jnz1568/getInfo.php?workbook=14_06.xlsx&amp;sheet=U0&amp;row=3545&amp;col=6&amp;number=3.1&amp;sourceID=14","3.1")</f>
        <v>3.1</v>
      </c>
      <c r="G3545" s="4" t="str">
        <f>HYPERLINK("http://141.218.60.56/~jnz1568/getInfo.php?workbook=14_06.xlsx&amp;sheet=U0&amp;row=3545&amp;col=7&amp;number=2.36e-05&amp;sourceID=14","2.36e-05")</f>
        <v>2.36e-05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HYPERLINK("http://141.218.60.56/~jnz1568/getInfo.php?workbook=14_06.xlsx&amp;sheet=U0&amp;row=3546&amp;col=6&amp;number=3.2&amp;sourceID=14","3.2")</f>
        <v>3.2</v>
      </c>
      <c r="G3546" s="4" t="str">
        <f>HYPERLINK("http://141.218.60.56/~jnz1568/getInfo.php?workbook=14_06.xlsx&amp;sheet=U0&amp;row=3546&amp;col=7&amp;number=2.36e-05&amp;sourceID=14","2.36e-05")</f>
        <v>2.36e-05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HYPERLINK("http://141.218.60.56/~jnz1568/getInfo.php?workbook=14_06.xlsx&amp;sheet=U0&amp;row=3547&amp;col=6&amp;number=3.3&amp;sourceID=14","3.3")</f>
        <v>3.3</v>
      </c>
      <c r="G3547" s="4" t="str">
        <f>HYPERLINK("http://141.218.60.56/~jnz1568/getInfo.php?workbook=14_06.xlsx&amp;sheet=U0&amp;row=3547&amp;col=7&amp;number=2.36e-05&amp;sourceID=14","2.36e-05")</f>
        <v>2.36e-05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HYPERLINK("http://141.218.60.56/~jnz1568/getInfo.php?workbook=14_06.xlsx&amp;sheet=U0&amp;row=3548&amp;col=6&amp;number=3.4&amp;sourceID=14","3.4")</f>
        <v>3.4</v>
      </c>
      <c r="G3548" s="4" t="str">
        <f>HYPERLINK("http://141.218.60.56/~jnz1568/getInfo.php?workbook=14_06.xlsx&amp;sheet=U0&amp;row=3548&amp;col=7&amp;number=2.36e-05&amp;sourceID=14","2.36e-05")</f>
        <v>2.36e-05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HYPERLINK("http://141.218.60.56/~jnz1568/getInfo.php?workbook=14_06.xlsx&amp;sheet=U0&amp;row=3549&amp;col=6&amp;number=3.5&amp;sourceID=14","3.5")</f>
        <v>3.5</v>
      </c>
      <c r="G3549" s="4" t="str">
        <f>HYPERLINK("http://141.218.60.56/~jnz1568/getInfo.php?workbook=14_06.xlsx&amp;sheet=U0&amp;row=3549&amp;col=7&amp;number=2.36e-05&amp;sourceID=14","2.36e-05")</f>
        <v>2.36e-05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HYPERLINK("http://141.218.60.56/~jnz1568/getInfo.php?workbook=14_06.xlsx&amp;sheet=U0&amp;row=3550&amp;col=6&amp;number=3.6&amp;sourceID=14","3.6")</f>
        <v>3.6</v>
      </c>
      <c r="G3550" s="4" t="str">
        <f>HYPERLINK("http://141.218.60.56/~jnz1568/getInfo.php?workbook=14_06.xlsx&amp;sheet=U0&amp;row=3550&amp;col=7&amp;number=2.36e-05&amp;sourceID=14","2.36e-05")</f>
        <v>2.36e-05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HYPERLINK("http://141.218.60.56/~jnz1568/getInfo.php?workbook=14_06.xlsx&amp;sheet=U0&amp;row=3551&amp;col=6&amp;number=3.7&amp;sourceID=14","3.7")</f>
        <v>3.7</v>
      </c>
      <c r="G3551" s="4" t="str">
        <f>HYPERLINK("http://141.218.60.56/~jnz1568/getInfo.php?workbook=14_06.xlsx&amp;sheet=U0&amp;row=3551&amp;col=7&amp;number=2.36e-05&amp;sourceID=14","2.36e-05")</f>
        <v>2.36e-05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HYPERLINK("http://141.218.60.56/~jnz1568/getInfo.php?workbook=14_06.xlsx&amp;sheet=U0&amp;row=3552&amp;col=6&amp;number=3.8&amp;sourceID=14","3.8")</f>
        <v>3.8</v>
      </c>
      <c r="G3552" s="4" t="str">
        <f>HYPERLINK("http://141.218.60.56/~jnz1568/getInfo.php?workbook=14_06.xlsx&amp;sheet=U0&amp;row=3552&amp;col=7&amp;number=2.36e-05&amp;sourceID=14","2.36e-05")</f>
        <v>2.36e-05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HYPERLINK("http://141.218.60.56/~jnz1568/getInfo.php?workbook=14_06.xlsx&amp;sheet=U0&amp;row=3553&amp;col=6&amp;number=3.9&amp;sourceID=14","3.9")</f>
        <v>3.9</v>
      </c>
      <c r="G3553" s="4" t="str">
        <f>HYPERLINK("http://141.218.60.56/~jnz1568/getInfo.php?workbook=14_06.xlsx&amp;sheet=U0&amp;row=3553&amp;col=7&amp;number=2.36e-05&amp;sourceID=14","2.36e-05")</f>
        <v>2.36e-05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HYPERLINK("http://141.218.60.56/~jnz1568/getInfo.php?workbook=14_06.xlsx&amp;sheet=U0&amp;row=3554&amp;col=6&amp;number=4&amp;sourceID=14","4")</f>
        <v>4</v>
      </c>
      <c r="G3554" s="4" t="str">
        <f>HYPERLINK("http://141.218.60.56/~jnz1568/getInfo.php?workbook=14_06.xlsx&amp;sheet=U0&amp;row=3554&amp;col=7&amp;number=2.36e-05&amp;sourceID=14","2.36e-05")</f>
        <v>2.36e-05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HYPERLINK("http://141.218.60.56/~jnz1568/getInfo.php?workbook=14_06.xlsx&amp;sheet=U0&amp;row=3555&amp;col=6&amp;number=4.1&amp;sourceID=14","4.1")</f>
        <v>4.1</v>
      </c>
      <c r="G3555" s="4" t="str">
        <f>HYPERLINK("http://141.218.60.56/~jnz1568/getInfo.php?workbook=14_06.xlsx&amp;sheet=U0&amp;row=3555&amp;col=7&amp;number=2.36e-05&amp;sourceID=14","2.36e-05")</f>
        <v>2.36e-05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HYPERLINK("http://141.218.60.56/~jnz1568/getInfo.php?workbook=14_06.xlsx&amp;sheet=U0&amp;row=3556&amp;col=6&amp;number=4.2&amp;sourceID=14","4.2")</f>
        <v>4.2</v>
      </c>
      <c r="G3556" s="4" t="str">
        <f>HYPERLINK("http://141.218.60.56/~jnz1568/getInfo.php?workbook=14_06.xlsx&amp;sheet=U0&amp;row=3556&amp;col=7&amp;number=2.35e-05&amp;sourceID=14","2.35e-05")</f>
        <v>2.35e-05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HYPERLINK("http://141.218.60.56/~jnz1568/getInfo.php?workbook=14_06.xlsx&amp;sheet=U0&amp;row=3557&amp;col=6&amp;number=4.3&amp;sourceID=14","4.3")</f>
        <v>4.3</v>
      </c>
      <c r="G3557" s="4" t="str">
        <f>HYPERLINK("http://141.218.60.56/~jnz1568/getInfo.php?workbook=14_06.xlsx&amp;sheet=U0&amp;row=3557&amp;col=7&amp;number=2.35e-05&amp;sourceID=14","2.35e-05")</f>
        <v>2.35e-05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HYPERLINK("http://141.218.60.56/~jnz1568/getInfo.php?workbook=14_06.xlsx&amp;sheet=U0&amp;row=3558&amp;col=6&amp;number=4.4&amp;sourceID=14","4.4")</f>
        <v>4.4</v>
      </c>
      <c r="G3558" s="4" t="str">
        <f>HYPERLINK("http://141.218.60.56/~jnz1568/getInfo.php?workbook=14_06.xlsx&amp;sheet=U0&amp;row=3558&amp;col=7&amp;number=2.35e-05&amp;sourceID=14","2.35e-05")</f>
        <v>2.35e-05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HYPERLINK("http://141.218.60.56/~jnz1568/getInfo.php?workbook=14_06.xlsx&amp;sheet=U0&amp;row=3559&amp;col=6&amp;number=4.5&amp;sourceID=14","4.5")</f>
        <v>4.5</v>
      </c>
      <c r="G3559" s="4" t="str">
        <f>HYPERLINK("http://141.218.60.56/~jnz1568/getInfo.php?workbook=14_06.xlsx&amp;sheet=U0&amp;row=3559&amp;col=7&amp;number=2.34e-05&amp;sourceID=14","2.34e-05")</f>
        <v>2.34e-05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HYPERLINK("http://141.218.60.56/~jnz1568/getInfo.php?workbook=14_06.xlsx&amp;sheet=U0&amp;row=3560&amp;col=6&amp;number=4.6&amp;sourceID=14","4.6")</f>
        <v>4.6</v>
      </c>
      <c r="G3560" s="4" t="str">
        <f>HYPERLINK("http://141.218.60.56/~jnz1568/getInfo.php?workbook=14_06.xlsx&amp;sheet=U0&amp;row=3560&amp;col=7&amp;number=2.34e-05&amp;sourceID=14","2.34e-05")</f>
        <v>2.34e-05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HYPERLINK("http://141.218.60.56/~jnz1568/getInfo.php?workbook=14_06.xlsx&amp;sheet=U0&amp;row=3561&amp;col=6&amp;number=4.7&amp;sourceID=14","4.7")</f>
        <v>4.7</v>
      </c>
      <c r="G3561" s="4" t="str">
        <f>HYPERLINK("http://141.218.60.56/~jnz1568/getInfo.php?workbook=14_06.xlsx&amp;sheet=U0&amp;row=3561&amp;col=7&amp;number=2.33e-05&amp;sourceID=14","2.33e-05")</f>
        <v>2.33e-05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HYPERLINK("http://141.218.60.56/~jnz1568/getInfo.php?workbook=14_06.xlsx&amp;sheet=U0&amp;row=3562&amp;col=6&amp;number=4.8&amp;sourceID=14","4.8")</f>
        <v>4.8</v>
      </c>
      <c r="G3562" s="4" t="str">
        <f>HYPERLINK("http://141.218.60.56/~jnz1568/getInfo.php?workbook=14_06.xlsx&amp;sheet=U0&amp;row=3562&amp;col=7&amp;number=2.32e-05&amp;sourceID=14","2.32e-05")</f>
        <v>2.32e-05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HYPERLINK("http://141.218.60.56/~jnz1568/getInfo.php?workbook=14_06.xlsx&amp;sheet=U0&amp;row=3563&amp;col=6&amp;number=4.9&amp;sourceID=14","4.9")</f>
        <v>4.9</v>
      </c>
      <c r="G3563" s="4" t="str">
        <f>HYPERLINK("http://141.218.60.56/~jnz1568/getInfo.php?workbook=14_06.xlsx&amp;sheet=U0&amp;row=3563&amp;col=7&amp;number=2.31e-05&amp;sourceID=14","2.31e-05")</f>
        <v>2.31e-05</v>
      </c>
    </row>
    <row r="3564" spans="1:7">
      <c r="A3564" s="3">
        <v>14</v>
      </c>
      <c r="B3564" s="3">
        <v>6</v>
      </c>
      <c r="C3564" s="3">
        <v>5</v>
      </c>
      <c r="D3564" s="3">
        <v>10</v>
      </c>
      <c r="E3564" s="3">
        <v>1</v>
      </c>
      <c r="F3564" s="4" t="str">
        <f>HYPERLINK("http://141.218.60.56/~jnz1568/getInfo.php?workbook=14_06.xlsx&amp;sheet=U0&amp;row=3564&amp;col=6&amp;number=3&amp;sourceID=14","3")</f>
        <v>3</v>
      </c>
      <c r="G3564" s="4" t="str">
        <f>HYPERLINK("http://141.218.60.56/~jnz1568/getInfo.php?workbook=14_06.xlsx&amp;sheet=U0&amp;row=3564&amp;col=7&amp;number=0.00693&amp;sourceID=14","0.00693")</f>
        <v>0.00693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HYPERLINK("http://141.218.60.56/~jnz1568/getInfo.php?workbook=14_06.xlsx&amp;sheet=U0&amp;row=3565&amp;col=6&amp;number=3.1&amp;sourceID=14","3.1")</f>
        <v>3.1</v>
      </c>
      <c r="G3565" s="4" t="str">
        <f>HYPERLINK("http://141.218.60.56/~jnz1568/getInfo.php?workbook=14_06.xlsx&amp;sheet=U0&amp;row=3565&amp;col=7&amp;number=0.00693&amp;sourceID=14","0.00693")</f>
        <v>0.00693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HYPERLINK("http://141.218.60.56/~jnz1568/getInfo.php?workbook=14_06.xlsx&amp;sheet=U0&amp;row=3566&amp;col=6&amp;number=3.2&amp;sourceID=14","3.2")</f>
        <v>3.2</v>
      </c>
      <c r="G3566" s="4" t="str">
        <f>HYPERLINK("http://141.218.60.56/~jnz1568/getInfo.php?workbook=14_06.xlsx&amp;sheet=U0&amp;row=3566&amp;col=7&amp;number=0.00693&amp;sourceID=14","0.00693")</f>
        <v>0.00693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HYPERLINK("http://141.218.60.56/~jnz1568/getInfo.php?workbook=14_06.xlsx&amp;sheet=U0&amp;row=3567&amp;col=6&amp;number=3.3&amp;sourceID=14","3.3")</f>
        <v>3.3</v>
      </c>
      <c r="G3567" s="4" t="str">
        <f>HYPERLINK("http://141.218.60.56/~jnz1568/getInfo.php?workbook=14_06.xlsx&amp;sheet=U0&amp;row=3567&amp;col=7&amp;number=0.00693&amp;sourceID=14","0.00693")</f>
        <v>0.00693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HYPERLINK("http://141.218.60.56/~jnz1568/getInfo.php?workbook=14_06.xlsx&amp;sheet=U0&amp;row=3568&amp;col=6&amp;number=3.4&amp;sourceID=14","3.4")</f>
        <v>3.4</v>
      </c>
      <c r="G3568" s="4" t="str">
        <f>HYPERLINK("http://141.218.60.56/~jnz1568/getInfo.php?workbook=14_06.xlsx&amp;sheet=U0&amp;row=3568&amp;col=7&amp;number=0.00693&amp;sourceID=14","0.00693")</f>
        <v>0.00693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HYPERLINK("http://141.218.60.56/~jnz1568/getInfo.php?workbook=14_06.xlsx&amp;sheet=U0&amp;row=3569&amp;col=6&amp;number=3.5&amp;sourceID=14","3.5")</f>
        <v>3.5</v>
      </c>
      <c r="G3569" s="4" t="str">
        <f>HYPERLINK("http://141.218.60.56/~jnz1568/getInfo.php?workbook=14_06.xlsx&amp;sheet=U0&amp;row=3569&amp;col=7&amp;number=0.00693&amp;sourceID=14","0.00693")</f>
        <v>0.00693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HYPERLINK("http://141.218.60.56/~jnz1568/getInfo.php?workbook=14_06.xlsx&amp;sheet=U0&amp;row=3570&amp;col=6&amp;number=3.6&amp;sourceID=14","3.6")</f>
        <v>3.6</v>
      </c>
      <c r="G3570" s="4" t="str">
        <f>HYPERLINK("http://141.218.60.56/~jnz1568/getInfo.php?workbook=14_06.xlsx&amp;sheet=U0&amp;row=3570&amp;col=7&amp;number=0.00693&amp;sourceID=14","0.00693")</f>
        <v>0.00693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HYPERLINK("http://141.218.60.56/~jnz1568/getInfo.php?workbook=14_06.xlsx&amp;sheet=U0&amp;row=3571&amp;col=6&amp;number=3.7&amp;sourceID=14","3.7")</f>
        <v>3.7</v>
      </c>
      <c r="G3571" s="4" t="str">
        <f>HYPERLINK("http://141.218.60.56/~jnz1568/getInfo.php?workbook=14_06.xlsx&amp;sheet=U0&amp;row=3571&amp;col=7&amp;number=0.00693&amp;sourceID=14","0.00693")</f>
        <v>0.00693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HYPERLINK("http://141.218.60.56/~jnz1568/getInfo.php?workbook=14_06.xlsx&amp;sheet=U0&amp;row=3572&amp;col=6&amp;number=3.8&amp;sourceID=14","3.8")</f>
        <v>3.8</v>
      </c>
      <c r="G3572" s="4" t="str">
        <f>HYPERLINK("http://141.218.60.56/~jnz1568/getInfo.php?workbook=14_06.xlsx&amp;sheet=U0&amp;row=3572&amp;col=7&amp;number=0.00692&amp;sourceID=14","0.00692")</f>
        <v>0.00692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HYPERLINK("http://141.218.60.56/~jnz1568/getInfo.php?workbook=14_06.xlsx&amp;sheet=U0&amp;row=3573&amp;col=6&amp;number=3.9&amp;sourceID=14","3.9")</f>
        <v>3.9</v>
      </c>
      <c r="G3573" s="4" t="str">
        <f>HYPERLINK("http://141.218.60.56/~jnz1568/getInfo.php?workbook=14_06.xlsx&amp;sheet=U0&amp;row=3573&amp;col=7&amp;number=0.00692&amp;sourceID=14","0.00692")</f>
        <v>0.00692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HYPERLINK("http://141.218.60.56/~jnz1568/getInfo.php?workbook=14_06.xlsx&amp;sheet=U0&amp;row=3574&amp;col=6&amp;number=4&amp;sourceID=14","4")</f>
        <v>4</v>
      </c>
      <c r="G3574" s="4" t="str">
        <f>HYPERLINK("http://141.218.60.56/~jnz1568/getInfo.php?workbook=14_06.xlsx&amp;sheet=U0&amp;row=3574&amp;col=7&amp;number=0.00692&amp;sourceID=14","0.00692")</f>
        <v>0.00692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HYPERLINK("http://141.218.60.56/~jnz1568/getInfo.php?workbook=14_06.xlsx&amp;sheet=U0&amp;row=3575&amp;col=6&amp;number=4.1&amp;sourceID=14","4.1")</f>
        <v>4.1</v>
      </c>
      <c r="G3575" s="4" t="str">
        <f>HYPERLINK("http://141.218.60.56/~jnz1568/getInfo.php?workbook=14_06.xlsx&amp;sheet=U0&amp;row=3575&amp;col=7&amp;number=0.00691&amp;sourceID=14","0.00691")</f>
        <v>0.00691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HYPERLINK("http://141.218.60.56/~jnz1568/getInfo.php?workbook=14_06.xlsx&amp;sheet=U0&amp;row=3576&amp;col=6&amp;number=4.2&amp;sourceID=14","4.2")</f>
        <v>4.2</v>
      </c>
      <c r="G3576" s="4" t="str">
        <f>HYPERLINK("http://141.218.60.56/~jnz1568/getInfo.php?workbook=14_06.xlsx&amp;sheet=U0&amp;row=3576&amp;col=7&amp;number=0.00691&amp;sourceID=14","0.00691")</f>
        <v>0.00691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HYPERLINK("http://141.218.60.56/~jnz1568/getInfo.php?workbook=14_06.xlsx&amp;sheet=U0&amp;row=3577&amp;col=6&amp;number=4.3&amp;sourceID=14","4.3")</f>
        <v>4.3</v>
      </c>
      <c r="G3577" s="4" t="str">
        <f>HYPERLINK("http://141.218.60.56/~jnz1568/getInfo.php?workbook=14_06.xlsx&amp;sheet=U0&amp;row=3577&amp;col=7&amp;number=0.0069&amp;sourceID=14","0.0069")</f>
        <v>0.0069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HYPERLINK("http://141.218.60.56/~jnz1568/getInfo.php?workbook=14_06.xlsx&amp;sheet=U0&amp;row=3578&amp;col=6&amp;number=4.4&amp;sourceID=14","4.4")</f>
        <v>4.4</v>
      </c>
      <c r="G3578" s="4" t="str">
        <f>HYPERLINK("http://141.218.60.56/~jnz1568/getInfo.php?workbook=14_06.xlsx&amp;sheet=U0&amp;row=3578&amp;col=7&amp;number=0.0069&amp;sourceID=14","0.0069")</f>
        <v>0.0069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HYPERLINK("http://141.218.60.56/~jnz1568/getInfo.php?workbook=14_06.xlsx&amp;sheet=U0&amp;row=3579&amp;col=6&amp;number=4.5&amp;sourceID=14","4.5")</f>
        <v>4.5</v>
      </c>
      <c r="G3579" s="4" t="str">
        <f>HYPERLINK("http://141.218.60.56/~jnz1568/getInfo.php?workbook=14_06.xlsx&amp;sheet=U0&amp;row=3579&amp;col=7&amp;number=0.00689&amp;sourceID=14","0.00689")</f>
        <v>0.00689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HYPERLINK("http://141.218.60.56/~jnz1568/getInfo.php?workbook=14_06.xlsx&amp;sheet=U0&amp;row=3580&amp;col=6&amp;number=4.6&amp;sourceID=14","4.6")</f>
        <v>4.6</v>
      </c>
      <c r="G3580" s="4" t="str">
        <f>HYPERLINK("http://141.218.60.56/~jnz1568/getInfo.php?workbook=14_06.xlsx&amp;sheet=U0&amp;row=3580&amp;col=7&amp;number=0.00687&amp;sourceID=14","0.00687")</f>
        <v>0.00687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HYPERLINK("http://141.218.60.56/~jnz1568/getInfo.php?workbook=14_06.xlsx&amp;sheet=U0&amp;row=3581&amp;col=6&amp;number=4.7&amp;sourceID=14","4.7")</f>
        <v>4.7</v>
      </c>
      <c r="G3581" s="4" t="str">
        <f>HYPERLINK("http://141.218.60.56/~jnz1568/getInfo.php?workbook=14_06.xlsx&amp;sheet=U0&amp;row=3581&amp;col=7&amp;number=0.00686&amp;sourceID=14","0.00686")</f>
        <v>0.00686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HYPERLINK("http://141.218.60.56/~jnz1568/getInfo.php?workbook=14_06.xlsx&amp;sheet=U0&amp;row=3582&amp;col=6&amp;number=4.8&amp;sourceID=14","4.8")</f>
        <v>4.8</v>
      </c>
      <c r="G3582" s="4" t="str">
        <f>HYPERLINK("http://141.218.60.56/~jnz1568/getInfo.php?workbook=14_06.xlsx&amp;sheet=U0&amp;row=3582&amp;col=7&amp;number=0.00684&amp;sourceID=14","0.00684")</f>
        <v>0.00684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HYPERLINK("http://141.218.60.56/~jnz1568/getInfo.php?workbook=14_06.xlsx&amp;sheet=U0&amp;row=3583&amp;col=6&amp;number=4.9&amp;sourceID=14","4.9")</f>
        <v>4.9</v>
      </c>
      <c r="G3583" s="4" t="str">
        <f>HYPERLINK("http://141.218.60.56/~jnz1568/getInfo.php?workbook=14_06.xlsx&amp;sheet=U0&amp;row=3583&amp;col=7&amp;number=0.00681&amp;sourceID=14","0.00681")</f>
        <v>0.00681</v>
      </c>
    </row>
    <row r="3584" spans="1:7">
      <c r="A3584" s="3">
        <v>14</v>
      </c>
      <c r="B3584" s="3">
        <v>6</v>
      </c>
      <c r="C3584" s="3">
        <v>5</v>
      </c>
      <c r="D3584" s="3">
        <v>11</v>
      </c>
      <c r="E3584" s="3">
        <v>1</v>
      </c>
      <c r="F3584" s="4" t="str">
        <f>HYPERLINK("http://141.218.60.56/~jnz1568/getInfo.php?workbook=14_06.xlsx&amp;sheet=U0&amp;row=3584&amp;col=6&amp;number=3&amp;sourceID=14","3")</f>
        <v>3</v>
      </c>
      <c r="G3584" s="4" t="str">
        <f>HYPERLINK("http://141.218.60.56/~jnz1568/getInfo.php?workbook=14_06.xlsx&amp;sheet=U0&amp;row=3584&amp;col=7&amp;number=0.0211&amp;sourceID=14","0.0211")</f>
        <v>0.0211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HYPERLINK("http://141.218.60.56/~jnz1568/getInfo.php?workbook=14_06.xlsx&amp;sheet=U0&amp;row=3585&amp;col=6&amp;number=3.1&amp;sourceID=14","3.1")</f>
        <v>3.1</v>
      </c>
      <c r="G3585" s="4" t="str">
        <f>HYPERLINK("http://141.218.60.56/~jnz1568/getInfo.php?workbook=14_06.xlsx&amp;sheet=U0&amp;row=3585&amp;col=7&amp;number=0.0211&amp;sourceID=14","0.0211")</f>
        <v>0.0211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HYPERLINK("http://141.218.60.56/~jnz1568/getInfo.php?workbook=14_06.xlsx&amp;sheet=U0&amp;row=3586&amp;col=6&amp;number=3.2&amp;sourceID=14","3.2")</f>
        <v>3.2</v>
      </c>
      <c r="G3586" s="4" t="str">
        <f>HYPERLINK("http://141.218.60.56/~jnz1568/getInfo.php?workbook=14_06.xlsx&amp;sheet=U0&amp;row=3586&amp;col=7&amp;number=0.0211&amp;sourceID=14","0.0211")</f>
        <v>0.0211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HYPERLINK("http://141.218.60.56/~jnz1568/getInfo.php?workbook=14_06.xlsx&amp;sheet=U0&amp;row=3587&amp;col=6&amp;number=3.3&amp;sourceID=14","3.3")</f>
        <v>3.3</v>
      </c>
      <c r="G3587" s="4" t="str">
        <f>HYPERLINK("http://141.218.60.56/~jnz1568/getInfo.php?workbook=14_06.xlsx&amp;sheet=U0&amp;row=3587&amp;col=7&amp;number=0.0211&amp;sourceID=14","0.0211")</f>
        <v>0.0211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HYPERLINK("http://141.218.60.56/~jnz1568/getInfo.php?workbook=14_06.xlsx&amp;sheet=U0&amp;row=3588&amp;col=6&amp;number=3.4&amp;sourceID=14","3.4")</f>
        <v>3.4</v>
      </c>
      <c r="G3588" s="4" t="str">
        <f>HYPERLINK("http://141.218.60.56/~jnz1568/getInfo.php?workbook=14_06.xlsx&amp;sheet=U0&amp;row=3588&amp;col=7&amp;number=0.0211&amp;sourceID=14","0.0211")</f>
        <v>0.0211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HYPERLINK("http://141.218.60.56/~jnz1568/getInfo.php?workbook=14_06.xlsx&amp;sheet=U0&amp;row=3589&amp;col=6&amp;number=3.5&amp;sourceID=14","3.5")</f>
        <v>3.5</v>
      </c>
      <c r="G3589" s="4" t="str">
        <f>HYPERLINK("http://141.218.60.56/~jnz1568/getInfo.php?workbook=14_06.xlsx&amp;sheet=U0&amp;row=3589&amp;col=7&amp;number=0.0211&amp;sourceID=14","0.0211")</f>
        <v>0.0211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HYPERLINK("http://141.218.60.56/~jnz1568/getInfo.php?workbook=14_06.xlsx&amp;sheet=U0&amp;row=3590&amp;col=6&amp;number=3.6&amp;sourceID=14","3.6")</f>
        <v>3.6</v>
      </c>
      <c r="G3590" s="4" t="str">
        <f>HYPERLINK("http://141.218.60.56/~jnz1568/getInfo.php?workbook=14_06.xlsx&amp;sheet=U0&amp;row=3590&amp;col=7&amp;number=0.0211&amp;sourceID=14","0.0211")</f>
        <v>0.0211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HYPERLINK("http://141.218.60.56/~jnz1568/getInfo.php?workbook=14_06.xlsx&amp;sheet=U0&amp;row=3591&amp;col=6&amp;number=3.7&amp;sourceID=14","3.7")</f>
        <v>3.7</v>
      </c>
      <c r="G3591" s="4" t="str">
        <f>HYPERLINK("http://141.218.60.56/~jnz1568/getInfo.php?workbook=14_06.xlsx&amp;sheet=U0&amp;row=3591&amp;col=7&amp;number=0.0211&amp;sourceID=14","0.0211")</f>
        <v>0.0211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HYPERLINK("http://141.218.60.56/~jnz1568/getInfo.php?workbook=14_06.xlsx&amp;sheet=U0&amp;row=3592&amp;col=6&amp;number=3.8&amp;sourceID=14","3.8")</f>
        <v>3.8</v>
      </c>
      <c r="G3592" s="4" t="str">
        <f>HYPERLINK("http://141.218.60.56/~jnz1568/getInfo.php?workbook=14_06.xlsx&amp;sheet=U0&amp;row=3592&amp;col=7&amp;number=0.0211&amp;sourceID=14","0.0211")</f>
        <v>0.0211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HYPERLINK("http://141.218.60.56/~jnz1568/getInfo.php?workbook=14_06.xlsx&amp;sheet=U0&amp;row=3593&amp;col=6&amp;number=3.9&amp;sourceID=14","3.9")</f>
        <v>3.9</v>
      </c>
      <c r="G3593" s="4" t="str">
        <f>HYPERLINK("http://141.218.60.56/~jnz1568/getInfo.php?workbook=14_06.xlsx&amp;sheet=U0&amp;row=3593&amp;col=7&amp;number=0.0211&amp;sourceID=14","0.0211")</f>
        <v>0.0211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HYPERLINK("http://141.218.60.56/~jnz1568/getInfo.php?workbook=14_06.xlsx&amp;sheet=U0&amp;row=3594&amp;col=6&amp;number=4&amp;sourceID=14","4")</f>
        <v>4</v>
      </c>
      <c r="G3594" s="4" t="str">
        <f>HYPERLINK("http://141.218.60.56/~jnz1568/getInfo.php?workbook=14_06.xlsx&amp;sheet=U0&amp;row=3594&amp;col=7&amp;number=0.0211&amp;sourceID=14","0.0211")</f>
        <v>0.0211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HYPERLINK("http://141.218.60.56/~jnz1568/getInfo.php?workbook=14_06.xlsx&amp;sheet=U0&amp;row=3595&amp;col=6&amp;number=4.1&amp;sourceID=14","4.1")</f>
        <v>4.1</v>
      </c>
      <c r="G3595" s="4" t="str">
        <f>HYPERLINK("http://141.218.60.56/~jnz1568/getInfo.php?workbook=14_06.xlsx&amp;sheet=U0&amp;row=3595&amp;col=7&amp;number=0.021&amp;sourceID=14","0.021")</f>
        <v>0.021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HYPERLINK("http://141.218.60.56/~jnz1568/getInfo.php?workbook=14_06.xlsx&amp;sheet=U0&amp;row=3596&amp;col=6&amp;number=4.2&amp;sourceID=14","4.2")</f>
        <v>4.2</v>
      </c>
      <c r="G3596" s="4" t="str">
        <f>HYPERLINK("http://141.218.60.56/~jnz1568/getInfo.php?workbook=14_06.xlsx&amp;sheet=U0&amp;row=3596&amp;col=7&amp;number=0.021&amp;sourceID=14","0.021")</f>
        <v>0.021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HYPERLINK("http://141.218.60.56/~jnz1568/getInfo.php?workbook=14_06.xlsx&amp;sheet=U0&amp;row=3597&amp;col=6&amp;number=4.3&amp;sourceID=14","4.3")</f>
        <v>4.3</v>
      </c>
      <c r="G3597" s="4" t="str">
        <f>HYPERLINK("http://141.218.60.56/~jnz1568/getInfo.php?workbook=14_06.xlsx&amp;sheet=U0&amp;row=3597&amp;col=7&amp;number=0.021&amp;sourceID=14","0.021")</f>
        <v>0.021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HYPERLINK("http://141.218.60.56/~jnz1568/getInfo.php?workbook=14_06.xlsx&amp;sheet=U0&amp;row=3598&amp;col=6&amp;number=4.4&amp;sourceID=14","4.4")</f>
        <v>4.4</v>
      </c>
      <c r="G3598" s="4" t="str">
        <f>HYPERLINK("http://141.218.60.56/~jnz1568/getInfo.php?workbook=14_06.xlsx&amp;sheet=U0&amp;row=3598&amp;col=7&amp;number=0.021&amp;sourceID=14","0.021")</f>
        <v>0.021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HYPERLINK("http://141.218.60.56/~jnz1568/getInfo.php?workbook=14_06.xlsx&amp;sheet=U0&amp;row=3599&amp;col=6&amp;number=4.5&amp;sourceID=14","4.5")</f>
        <v>4.5</v>
      </c>
      <c r="G3599" s="4" t="str">
        <f>HYPERLINK("http://141.218.60.56/~jnz1568/getInfo.php?workbook=14_06.xlsx&amp;sheet=U0&amp;row=3599&amp;col=7&amp;number=0.021&amp;sourceID=14","0.021")</f>
        <v>0.021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HYPERLINK("http://141.218.60.56/~jnz1568/getInfo.php?workbook=14_06.xlsx&amp;sheet=U0&amp;row=3600&amp;col=6&amp;number=4.6&amp;sourceID=14","4.6")</f>
        <v>4.6</v>
      </c>
      <c r="G3600" s="4" t="str">
        <f>HYPERLINK("http://141.218.60.56/~jnz1568/getInfo.php?workbook=14_06.xlsx&amp;sheet=U0&amp;row=3600&amp;col=7&amp;number=0.0209&amp;sourceID=14","0.0209")</f>
        <v>0.0209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HYPERLINK("http://141.218.60.56/~jnz1568/getInfo.php?workbook=14_06.xlsx&amp;sheet=U0&amp;row=3601&amp;col=6&amp;number=4.7&amp;sourceID=14","4.7")</f>
        <v>4.7</v>
      </c>
      <c r="G3601" s="4" t="str">
        <f>HYPERLINK("http://141.218.60.56/~jnz1568/getInfo.php?workbook=14_06.xlsx&amp;sheet=U0&amp;row=3601&amp;col=7&amp;number=0.0209&amp;sourceID=14","0.0209")</f>
        <v>0.0209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HYPERLINK("http://141.218.60.56/~jnz1568/getInfo.php?workbook=14_06.xlsx&amp;sheet=U0&amp;row=3602&amp;col=6&amp;number=4.8&amp;sourceID=14","4.8")</f>
        <v>4.8</v>
      </c>
      <c r="G3602" s="4" t="str">
        <f>HYPERLINK("http://141.218.60.56/~jnz1568/getInfo.php?workbook=14_06.xlsx&amp;sheet=U0&amp;row=3602&amp;col=7&amp;number=0.0208&amp;sourceID=14","0.0208")</f>
        <v>0.0208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HYPERLINK("http://141.218.60.56/~jnz1568/getInfo.php?workbook=14_06.xlsx&amp;sheet=U0&amp;row=3603&amp;col=6&amp;number=4.9&amp;sourceID=14","4.9")</f>
        <v>4.9</v>
      </c>
      <c r="G3603" s="4" t="str">
        <f>HYPERLINK("http://141.218.60.56/~jnz1568/getInfo.php?workbook=14_06.xlsx&amp;sheet=U0&amp;row=3603&amp;col=7&amp;number=0.0208&amp;sourceID=14","0.0208")</f>
        <v>0.0208</v>
      </c>
    </row>
    <row r="3604" spans="1:7">
      <c r="A3604" s="3">
        <v>14</v>
      </c>
      <c r="B3604" s="3">
        <v>6</v>
      </c>
      <c r="C3604" s="3">
        <v>5</v>
      </c>
      <c r="D3604" s="3">
        <v>12</v>
      </c>
      <c r="E3604" s="3">
        <v>1</v>
      </c>
      <c r="F3604" s="4" t="str">
        <f>HYPERLINK("http://141.218.60.56/~jnz1568/getInfo.php?workbook=14_06.xlsx&amp;sheet=U0&amp;row=3604&amp;col=6&amp;number=3&amp;sourceID=14","3")</f>
        <v>3</v>
      </c>
      <c r="G3604" s="4" t="str">
        <f>HYPERLINK("http://141.218.60.56/~jnz1568/getInfo.php?workbook=14_06.xlsx&amp;sheet=U0&amp;row=3604&amp;col=7&amp;number=0.0311&amp;sourceID=14","0.0311")</f>
        <v>0.0311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HYPERLINK("http://141.218.60.56/~jnz1568/getInfo.php?workbook=14_06.xlsx&amp;sheet=U0&amp;row=3605&amp;col=6&amp;number=3.1&amp;sourceID=14","3.1")</f>
        <v>3.1</v>
      </c>
      <c r="G3605" s="4" t="str">
        <f>HYPERLINK("http://141.218.60.56/~jnz1568/getInfo.php?workbook=14_06.xlsx&amp;sheet=U0&amp;row=3605&amp;col=7&amp;number=0.0311&amp;sourceID=14","0.0311")</f>
        <v>0.0311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HYPERLINK("http://141.218.60.56/~jnz1568/getInfo.php?workbook=14_06.xlsx&amp;sheet=U0&amp;row=3606&amp;col=6&amp;number=3.2&amp;sourceID=14","3.2")</f>
        <v>3.2</v>
      </c>
      <c r="G3606" s="4" t="str">
        <f>HYPERLINK("http://141.218.60.56/~jnz1568/getInfo.php?workbook=14_06.xlsx&amp;sheet=U0&amp;row=3606&amp;col=7&amp;number=0.0311&amp;sourceID=14","0.0311")</f>
        <v>0.0311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HYPERLINK("http://141.218.60.56/~jnz1568/getInfo.php?workbook=14_06.xlsx&amp;sheet=U0&amp;row=3607&amp;col=6&amp;number=3.3&amp;sourceID=14","3.3")</f>
        <v>3.3</v>
      </c>
      <c r="G3607" s="4" t="str">
        <f>HYPERLINK("http://141.218.60.56/~jnz1568/getInfo.php?workbook=14_06.xlsx&amp;sheet=U0&amp;row=3607&amp;col=7&amp;number=0.0311&amp;sourceID=14","0.0311")</f>
        <v>0.0311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HYPERLINK("http://141.218.60.56/~jnz1568/getInfo.php?workbook=14_06.xlsx&amp;sheet=U0&amp;row=3608&amp;col=6&amp;number=3.4&amp;sourceID=14","3.4")</f>
        <v>3.4</v>
      </c>
      <c r="G3608" s="4" t="str">
        <f>HYPERLINK("http://141.218.60.56/~jnz1568/getInfo.php?workbook=14_06.xlsx&amp;sheet=U0&amp;row=3608&amp;col=7&amp;number=0.0311&amp;sourceID=14","0.0311")</f>
        <v>0.0311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HYPERLINK("http://141.218.60.56/~jnz1568/getInfo.php?workbook=14_06.xlsx&amp;sheet=U0&amp;row=3609&amp;col=6&amp;number=3.5&amp;sourceID=14","3.5")</f>
        <v>3.5</v>
      </c>
      <c r="G3609" s="4" t="str">
        <f>HYPERLINK("http://141.218.60.56/~jnz1568/getInfo.php?workbook=14_06.xlsx&amp;sheet=U0&amp;row=3609&amp;col=7&amp;number=0.0311&amp;sourceID=14","0.0311")</f>
        <v>0.0311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HYPERLINK("http://141.218.60.56/~jnz1568/getInfo.php?workbook=14_06.xlsx&amp;sheet=U0&amp;row=3610&amp;col=6&amp;number=3.6&amp;sourceID=14","3.6")</f>
        <v>3.6</v>
      </c>
      <c r="G3610" s="4" t="str">
        <f>HYPERLINK("http://141.218.60.56/~jnz1568/getInfo.php?workbook=14_06.xlsx&amp;sheet=U0&amp;row=3610&amp;col=7&amp;number=0.0311&amp;sourceID=14","0.0311")</f>
        <v>0.0311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HYPERLINK("http://141.218.60.56/~jnz1568/getInfo.php?workbook=14_06.xlsx&amp;sheet=U0&amp;row=3611&amp;col=6&amp;number=3.7&amp;sourceID=14","3.7")</f>
        <v>3.7</v>
      </c>
      <c r="G3611" s="4" t="str">
        <f>HYPERLINK("http://141.218.60.56/~jnz1568/getInfo.php?workbook=14_06.xlsx&amp;sheet=U0&amp;row=3611&amp;col=7&amp;number=0.0311&amp;sourceID=14","0.0311")</f>
        <v>0.0311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HYPERLINK("http://141.218.60.56/~jnz1568/getInfo.php?workbook=14_06.xlsx&amp;sheet=U0&amp;row=3612&amp;col=6&amp;number=3.8&amp;sourceID=14","3.8")</f>
        <v>3.8</v>
      </c>
      <c r="G3612" s="4" t="str">
        <f>HYPERLINK("http://141.218.60.56/~jnz1568/getInfo.php?workbook=14_06.xlsx&amp;sheet=U0&amp;row=3612&amp;col=7&amp;number=0.0311&amp;sourceID=14","0.0311")</f>
        <v>0.0311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HYPERLINK("http://141.218.60.56/~jnz1568/getInfo.php?workbook=14_06.xlsx&amp;sheet=U0&amp;row=3613&amp;col=6&amp;number=3.9&amp;sourceID=14","3.9")</f>
        <v>3.9</v>
      </c>
      <c r="G3613" s="4" t="str">
        <f>HYPERLINK("http://141.218.60.56/~jnz1568/getInfo.php?workbook=14_06.xlsx&amp;sheet=U0&amp;row=3613&amp;col=7&amp;number=0.0311&amp;sourceID=14","0.0311")</f>
        <v>0.0311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HYPERLINK("http://141.218.60.56/~jnz1568/getInfo.php?workbook=14_06.xlsx&amp;sheet=U0&amp;row=3614&amp;col=6&amp;number=4&amp;sourceID=14","4")</f>
        <v>4</v>
      </c>
      <c r="G3614" s="4" t="str">
        <f>HYPERLINK("http://141.218.60.56/~jnz1568/getInfo.php?workbook=14_06.xlsx&amp;sheet=U0&amp;row=3614&amp;col=7&amp;number=0.0311&amp;sourceID=14","0.0311")</f>
        <v>0.0311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HYPERLINK("http://141.218.60.56/~jnz1568/getInfo.php?workbook=14_06.xlsx&amp;sheet=U0&amp;row=3615&amp;col=6&amp;number=4.1&amp;sourceID=14","4.1")</f>
        <v>4.1</v>
      </c>
      <c r="G3615" s="4" t="str">
        <f>HYPERLINK("http://141.218.60.56/~jnz1568/getInfo.php?workbook=14_06.xlsx&amp;sheet=U0&amp;row=3615&amp;col=7&amp;number=0.031&amp;sourceID=14","0.031")</f>
        <v>0.031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HYPERLINK("http://141.218.60.56/~jnz1568/getInfo.php?workbook=14_06.xlsx&amp;sheet=U0&amp;row=3616&amp;col=6&amp;number=4.2&amp;sourceID=14","4.2")</f>
        <v>4.2</v>
      </c>
      <c r="G3616" s="4" t="str">
        <f>HYPERLINK("http://141.218.60.56/~jnz1568/getInfo.php?workbook=14_06.xlsx&amp;sheet=U0&amp;row=3616&amp;col=7&amp;number=0.031&amp;sourceID=14","0.031")</f>
        <v>0.031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HYPERLINK("http://141.218.60.56/~jnz1568/getInfo.php?workbook=14_06.xlsx&amp;sheet=U0&amp;row=3617&amp;col=6&amp;number=4.3&amp;sourceID=14","4.3")</f>
        <v>4.3</v>
      </c>
      <c r="G3617" s="4" t="str">
        <f>HYPERLINK("http://141.218.60.56/~jnz1568/getInfo.php?workbook=14_06.xlsx&amp;sheet=U0&amp;row=3617&amp;col=7&amp;number=0.031&amp;sourceID=14","0.031")</f>
        <v>0.031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HYPERLINK("http://141.218.60.56/~jnz1568/getInfo.php?workbook=14_06.xlsx&amp;sheet=U0&amp;row=3618&amp;col=6&amp;number=4.4&amp;sourceID=14","4.4")</f>
        <v>4.4</v>
      </c>
      <c r="G3618" s="4" t="str">
        <f>HYPERLINK("http://141.218.60.56/~jnz1568/getInfo.php?workbook=14_06.xlsx&amp;sheet=U0&amp;row=3618&amp;col=7&amp;number=0.031&amp;sourceID=14","0.031")</f>
        <v>0.031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HYPERLINK("http://141.218.60.56/~jnz1568/getInfo.php?workbook=14_06.xlsx&amp;sheet=U0&amp;row=3619&amp;col=6&amp;number=4.5&amp;sourceID=14","4.5")</f>
        <v>4.5</v>
      </c>
      <c r="G3619" s="4" t="str">
        <f>HYPERLINK("http://141.218.60.56/~jnz1568/getInfo.php?workbook=14_06.xlsx&amp;sheet=U0&amp;row=3619&amp;col=7&amp;number=0.0309&amp;sourceID=14","0.0309")</f>
        <v>0.0309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HYPERLINK("http://141.218.60.56/~jnz1568/getInfo.php?workbook=14_06.xlsx&amp;sheet=U0&amp;row=3620&amp;col=6&amp;number=4.6&amp;sourceID=14","4.6")</f>
        <v>4.6</v>
      </c>
      <c r="G3620" s="4" t="str">
        <f>HYPERLINK("http://141.218.60.56/~jnz1568/getInfo.php?workbook=14_06.xlsx&amp;sheet=U0&amp;row=3620&amp;col=7&amp;number=0.0309&amp;sourceID=14","0.0309")</f>
        <v>0.0309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HYPERLINK("http://141.218.60.56/~jnz1568/getInfo.php?workbook=14_06.xlsx&amp;sheet=U0&amp;row=3621&amp;col=6&amp;number=4.7&amp;sourceID=14","4.7")</f>
        <v>4.7</v>
      </c>
      <c r="G3621" s="4" t="str">
        <f>HYPERLINK("http://141.218.60.56/~jnz1568/getInfo.php?workbook=14_06.xlsx&amp;sheet=U0&amp;row=3621&amp;col=7&amp;number=0.0308&amp;sourceID=14","0.0308")</f>
        <v>0.0308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HYPERLINK("http://141.218.60.56/~jnz1568/getInfo.php?workbook=14_06.xlsx&amp;sheet=U0&amp;row=3622&amp;col=6&amp;number=4.8&amp;sourceID=14","4.8")</f>
        <v>4.8</v>
      </c>
      <c r="G3622" s="4" t="str">
        <f>HYPERLINK("http://141.218.60.56/~jnz1568/getInfo.php?workbook=14_06.xlsx&amp;sheet=U0&amp;row=3622&amp;col=7&amp;number=0.0307&amp;sourceID=14","0.0307")</f>
        <v>0.0307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HYPERLINK("http://141.218.60.56/~jnz1568/getInfo.php?workbook=14_06.xlsx&amp;sheet=U0&amp;row=3623&amp;col=6&amp;number=4.9&amp;sourceID=14","4.9")</f>
        <v>4.9</v>
      </c>
      <c r="G3623" s="4" t="str">
        <f>HYPERLINK("http://141.218.60.56/~jnz1568/getInfo.php?workbook=14_06.xlsx&amp;sheet=U0&amp;row=3623&amp;col=7&amp;number=0.0306&amp;sourceID=14","0.0306")</f>
        <v>0.0306</v>
      </c>
    </row>
    <row r="3624" spans="1:7">
      <c r="A3624" s="3">
        <v>14</v>
      </c>
      <c r="B3624" s="3">
        <v>6</v>
      </c>
      <c r="C3624" s="3">
        <v>5</v>
      </c>
      <c r="D3624" s="3">
        <v>13</v>
      </c>
      <c r="E3624" s="3">
        <v>1</v>
      </c>
      <c r="F3624" s="4" t="str">
        <f>HYPERLINK("http://141.218.60.56/~jnz1568/getInfo.php?workbook=14_06.xlsx&amp;sheet=U0&amp;row=3624&amp;col=6&amp;number=3&amp;sourceID=14","3")</f>
        <v>3</v>
      </c>
      <c r="G3624" s="4" t="str">
        <f>HYPERLINK("http://141.218.60.56/~jnz1568/getInfo.php?workbook=14_06.xlsx&amp;sheet=U0&amp;row=3624&amp;col=7&amp;number=0.000124&amp;sourceID=14","0.000124")</f>
        <v>0.000124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HYPERLINK("http://141.218.60.56/~jnz1568/getInfo.php?workbook=14_06.xlsx&amp;sheet=U0&amp;row=3625&amp;col=6&amp;number=3.1&amp;sourceID=14","3.1")</f>
        <v>3.1</v>
      </c>
      <c r="G3625" s="4" t="str">
        <f>HYPERLINK("http://141.218.60.56/~jnz1568/getInfo.php?workbook=14_06.xlsx&amp;sheet=U0&amp;row=3625&amp;col=7&amp;number=0.000124&amp;sourceID=14","0.000124")</f>
        <v>0.000124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HYPERLINK("http://141.218.60.56/~jnz1568/getInfo.php?workbook=14_06.xlsx&amp;sheet=U0&amp;row=3626&amp;col=6&amp;number=3.2&amp;sourceID=14","3.2")</f>
        <v>3.2</v>
      </c>
      <c r="G3626" s="4" t="str">
        <f>HYPERLINK("http://141.218.60.56/~jnz1568/getInfo.php?workbook=14_06.xlsx&amp;sheet=U0&amp;row=3626&amp;col=7&amp;number=0.000124&amp;sourceID=14","0.000124")</f>
        <v>0.000124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HYPERLINK("http://141.218.60.56/~jnz1568/getInfo.php?workbook=14_06.xlsx&amp;sheet=U0&amp;row=3627&amp;col=6&amp;number=3.3&amp;sourceID=14","3.3")</f>
        <v>3.3</v>
      </c>
      <c r="G3627" s="4" t="str">
        <f>HYPERLINK("http://141.218.60.56/~jnz1568/getInfo.php?workbook=14_06.xlsx&amp;sheet=U0&amp;row=3627&amp;col=7&amp;number=0.000124&amp;sourceID=14","0.000124")</f>
        <v>0.000124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HYPERLINK("http://141.218.60.56/~jnz1568/getInfo.php?workbook=14_06.xlsx&amp;sheet=U0&amp;row=3628&amp;col=6&amp;number=3.4&amp;sourceID=14","3.4")</f>
        <v>3.4</v>
      </c>
      <c r="G3628" s="4" t="str">
        <f>HYPERLINK("http://141.218.60.56/~jnz1568/getInfo.php?workbook=14_06.xlsx&amp;sheet=U0&amp;row=3628&amp;col=7&amp;number=0.000124&amp;sourceID=14","0.000124")</f>
        <v>0.000124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HYPERLINK("http://141.218.60.56/~jnz1568/getInfo.php?workbook=14_06.xlsx&amp;sheet=U0&amp;row=3629&amp;col=6&amp;number=3.5&amp;sourceID=14","3.5")</f>
        <v>3.5</v>
      </c>
      <c r="G3629" s="4" t="str">
        <f>HYPERLINK("http://141.218.60.56/~jnz1568/getInfo.php?workbook=14_06.xlsx&amp;sheet=U0&amp;row=3629&amp;col=7&amp;number=0.000124&amp;sourceID=14","0.000124")</f>
        <v>0.000124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HYPERLINK("http://141.218.60.56/~jnz1568/getInfo.php?workbook=14_06.xlsx&amp;sheet=U0&amp;row=3630&amp;col=6&amp;number=3.6&amp;sourceID=14","3.6")</f>
        <v>3.6</v>
      </c>
      <c r="G3630" s="4" t="str">
        <f>HYPERLINK("http://141.218.60.56/~jnz1568/getInfo.php?workbook=14_06.xlsx&amp;sheet=U0&amp;row=3630&amp;col=7&amp;number=0.000124&amp;sourceID=14","0.000124")</f>
        <v>0.000124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HYPERLINK("http://141.218.60.56/~jnz1568/getInfo.php?workbook=14_06.xlsx&amp;sheet=U0&amp;row=3631&amp;col=6&amp;number=3.7&amp;sourceID=14","3.7")</f>
        <v>3.7</v>
      </c>
      <c r="G3631" s="4" t="str">
        <f>HYPERLINK("http://141.218.60.56/~jnz1568/getInfo.php?workbook=14_06.xlsx&amp;sheet=U0&amp;row=3631&amp;col=7&amp;number=0.000124&amp;sourceID=14","0.000124")</f>
        <v>0.000124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HYPERLINK("http://141.218.60.56/~jnz1568/getInfo.php?workbook=14_06.xlsx&amp;sheet=U0&amp;row=3632&amp;col=6&amp;number=3.8&amp;sourceID=14","3.8")</f>
        <v>3.8</v>
      </c>
      <c r="G3632" s="4" t="str">
        <f>HYPERLINK("http://141.218.60.56/~jnz1568/getInfo.php?workbook=14_06.xlsx&amp;sheet=U0&amp;row=3632&amp;col=7&amp;number=0.000124&amp;sourceID=14","0.000124")</f>
        <v>0.000124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HYPERLINK("http://141.218.60.56/~jnz1568/getInfo.php?workbook=14_06.xlsx&amp;sheet=U0&amp;row=3633&amp;col=6&amp;number=3.9&amp;sourceID=14","3.9")</f>
        <v>3.9</v>
      </c>
      <c r="G3633" s="4" t="str">
        <f>HYPERLINK("http://141.218.60.56/~jnz1568/getInfo.php?workbook=14_06.xlsx&amp;sheet=U0&amp;row=3633&amp;col=7&amp;number=0.000124&amp;sourceID=14","0.000124")</f>
        <v>0.000124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HYPERLINK("http://141.218.60.56/~jnz1568/getInfo.php?workbook=14_06.xlsx&amp;sheet=U0&amp;row=3634&amp;col=6&amp;number=4&amp;sourceID=14","4")</f>
        <v>4</v>
      </c>
      <c r="G3634" s="4" t="str">
        <f>HYPERLINK("http://141.218.60.56/~jnz1568/getInfo.php?workbook=14_06.xlsx&amp;sheet=U0&amp;row=3634&amp;col=7&amp;number=0.000124&amp;sourceID=14","0.000124")</f>
        <v>0.000124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HYPERLINK("http://141.218.60.56/~jnz1568/getInfo.php?workbook=14_06.xlsx&amp;sheet=U0&amp;row=3635&amp;col=6&amp;number=4.1&amp;sourceID=14","4.1")</f>
        <v>4.1</v>
      </c>
      <c r="G3635" s="4" t="str">
        <f>HYPERLINK("http://141.218.60.56/~jnz1568/getInfo.php?workbook=14_06.xlsx&amp;sheet=U0&amp;row=3635&amp;col=7&amp;number=0.000124&amp;sourceID=14","0.000124")</f>
        <v>0.000124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HYPERLINK("http://141.218.60.56/~jnz1568/getInfo.php?workbook=14_06.xlsx&amp;sheet=U0&amp;row=3636&amp;col=6&amp;number=4.2&amp;sourceID=14","4.2")</f>
        <v>4.2</v>
      </c>
      <c r="G3636" s="4" t="str">
        <f>HYPERLINK("http://141.218.60.56/~jnz1568/getInfo.php?workbook=14_06.xlsx&amp;sheet=U0&amp;row=3636&amp;col=7&amp;number=0.000124&amp;sourceID=14","0.000124")</f>
        <v>0.000124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HYPERLINK("http://141.218.60.56/~jnz1568/getInfo.php?workbook=14_06.xlsx&amp;sheet=U0&amp;row=3637&amp;col=6&amp;number=4.3&amp;sourceID=14","4.3")</f>
        <v>4.3</v>
      </c>
      <c r="G3637" s="4" t="str">
        <f>HYPERLINK("http://141.218.60.56/~jnz1568/getInfo.php?workbook=14_06.xlsx&amp;sheet=U0&amp;row=3637&amp;col=7&amp;number=0.000124&amp;sourceID=14","0.000124")</f>
        <v>0.000124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HYPERLINK("http://141.218.60.56/~jnz1568/getInfo.php?workbook=14_06.xlsx&amp;sheet=U0&amp;row=3638&amp;col=6&amp;number=4.4&amp;sourceID=14","4.4")</f>
        <v>4.4</v>
      </c>
      <c r="G3638" s="4" t="str">
        <f>HYPERLINK("http://141.218.60.56/~jnz1568/getInfo.php?workbook=14_06.xlsx&amp;sheet=U0&amp;row=3638&amp;col=7&amp;number=0.000124&amp;sourceID=14","0.000124")</f>
        <v>0.000124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HYPERLINK("http://141.218.60.56/~jnz1568/getInfo.php?workbook=14_06.xlsx&amp;sheet=U0&amp;row=3639&amp;col=6&amp;number=4.5&amp;sourceID=14","4.5")</f>
        <v>4.5</v>
      </c>
      <c r="G3639" s="4" t="str">
        <f>HYPERLINK("http://141.218.60.56/~jnz1568/getInfo.php?workbook=14_06.xlsx&amp;sheet=U0&amp;row=3639&amp;col=7&amp;number=0.000123&amp;sourceID=14","0.000123")</f>
        <v>0.000123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HYPERLINK("http://141.218.60.56/~jnz1568/getInfo.php?workbook=14_06.xlsx&amp;sheet=U0&amp;row=3640&amp;col=6&amp;number=4.6&amp;sourceID=14","4.6")</f>
        <v>4.6</v>
      </c>
      <c r="G3640" s="4" t="str">
        <f>HYPERLINK("http://141.218.60.56/~jnz1568/getInfo.php?workbook=14_06.xlsx&amp;sheet=U0&amp;row=3640&amp;col=7&amp;number=0.000123&amp;sourceID=14","0.000123")</f>
        <v>0.000123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HYPERLINK("http://141.218.60.56/~jnz1568/getInfo.php?workbook=14_06.xlsx&amp;sheet=U0&amp;row=3641&amp;col=6&amp;number=4.7&amp;sourceID=14","4.7")</f>
        <v>4.7</v>
      </c>
      <c r="G3641" s="4" t="str">
        <f>HYPERLINK("http://141.218.60.56/~jnz1568/getInfo.php?workbook=14_06.xlsx&amp;sheet=U0&amp;row=3641&amp;col=7&amp;number=0.000123&amp;sourceID=14","0.000123")</f>
        <v>0.000123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HYPERLINK("http://141.218.60.56/~jnz1568/getInfo.php?workbook=14_06.xlsx&amp;sheet=U0&amp;row=3642&amp;col=6&amp;number=4.8&amp;sourceID=14","4.8")</f>
        <v>4.8</v>
      </c>
      <c r="G3642" s="4" t="str">
        <f>HYPERLINK("http://141.218.60.56/~jnz1568/getInfo.php?workbook=14_06.xlsx&amp;sheet=U0&amp;row=3642&amp;col=7&amp;number=0.000123&amp;sourceID=14","0.000123")</f>
        <v>0.000123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HYPERLINK("http://141.218.60.56/~jnz1568/getInfo.php?workbook=14_06.xlsx&amp;sheet=U0&amp;row=3643&amp;col=6&amp;number=4.9&amp;sourceID=14","4.9")</f>
        <v>4.9</v>
      </c>
      <c r="G3643" s="4" t="str">
        <f>HYPERLINK("http://141.218.60.56/~jnz1568/getInfo.php?workbook=14_06.xlsx&amp;sheet=U0&amp;row=3643&amp;col=7&amp;number=0.000122&amp;sourceID=14","0.000122")</f>
        <v>0.000122</v>
      </c>
    </row>
    <row r="3644" spans="1:7">
      <c r="A3644" s="3">
        <v>14</v>
      </c>
      <c r="B3644" s="3">
        <v>6</v>
      </c>
      <c r="C3644" s="3">
        <v>5</v>
      </c>
      <c r="D3644" s="3">
        <v>14</v>
      </c>
      <c r="E3644" s="3">
        <v>1</v>
      </c>
      <c r="F3644" s="4" t="str">
        <f>HYPERLINK("http://141.218.60.56/~jnz1568/getInfo.php?workbook=14_06.xlsx&amp;sheet=U0&amp;row=3644&amp;col=6&amp;number=3&amp;sourceID=14","3")</f>
        <v>3</v>
      </c>
      <c r="G3644" s="4" t="str">
        <f>HYPERLINK("http://141.218.60.56/~jnz1568/getInfo.php?workbook=14_06.xlsx&amp;sheet=U0&amp;row=3644&amp;col=7&amp;number=0.000865&amp;sourceID=14","0.000865")</f>
        <v>0.000865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HYPERLINK("http://141.218.60.56/~jnz1568/getInfo.php?workbook=14_06.xlsx&amp;sheet=U0&amp;row=3645&amp;col=6&amp;number=3.1&amp;sourceID=14","3.1")</f>
        <v>3.1</v>
      </c>
      <c r="G3645" s="4" t="str">
        <f>HYPERLINK("http://141.218.60.56/~jnz1568/getInfo.php?workbook=14_06.xlsx&amp;sheet=U0&amp;row=3645&amp;col=7&amp;number=0.000865&amp;sourceID=14","0.000865")</f>
        <v>0.000865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HYPERLINK("http://141.218.60.56/~jnz1568/getInfo.php?workbook=14_06.xlsx&amp;sheet=U0&amp;row=3646&amp;col=6&amp;number=3.2&amp;sourceID=14","3.2")</f>
        <v>3.2</v>
      </c>
      <c r="G3646" s="4" t="str">
        <f>HYPERLINK("http://141.218.60.56/~jnz1568/getInfo.php?workbook=14_06.xlsx&amp;sheet=U0&amp;row=3646&amp;col=7&amp;number=0.000865&amp;sourceID=14","0.000865")</f>
        <v>0.000865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HYPERLINK("http://141.218.60.56/~jnz1568/getInfo.php?workbook=14_06.xlsx&amp;sheet=U0&amp;row=3647&amp;col=6&amp;number=3.3&amp;sourceID=14","3.3")</f>
        <v>3.3</v>
      </c>
      <c r="G3647" s="4" t="str">
        <f>HYPERLINK("http://141.218.60.56/~jnz1568/getInfo.php?workbook=14_06.xlsx&amp;sheet=U0&amp;row=3647&amp;col=7&amp;number=0.000865&amp;sourceID=14","0.000865")</f>
        <v>0.000865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HYPERLINK("http://141.218.60.56/~jnz1568/getInfo.php?workbook=14_06.xlsx&amp;sheet=U0&amp;row=3648&amp;col=6&amp;number=3.4&amp;sourceID=14","3.4")</f>
        <v>3.4</v>
      </c>
      <c r="G3648" s="4" t="str">
        <f>HYPERLINK("http://141.218.60.56/~jnz1568/getInfo.php?workbook=14_06.xlsx&amp;sheet=U0&amp;row=3648&amp;col=7&amp;number=0.000865&amp;sourceID=14","0.000865")</f>
        <v>0.000865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HYPERLINK("http://141.218.60.56/~jnz1568/getInfo.php?workbook=14_06.xlsx&amp;sheet=U0&amp;row=3649&amp;col=6&amp;number=3.5&amp;sourceID=14","3.5")</f>
        <v>3.5</v>
      </c>
      <c r="G3649" s="4" t="str">
        <f>HYPERLINK("http://141.218.60.56/~jnz1568/getInfo.php?workbook=14_06.xlsx&amp;sheet=U0&amp;row=3649&amp;col=7&amp;number=0.000865&amp;sourceID=14","0.000865")</f>
        <v>0.000865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HYPERLINK("http://141.218.60.56/~jnz1568/getInfo.php?workbook=14_06.xlsx&amp;sheet=U0&amp;row=3650&amp;col=6&amp;number=3.6&amp;sourceID=14","3.6")</f>
        <v>3.6</v>
      </c>
      <c r="G3650" s="4" t="str">
        <f>HYPERLINK("http://141.218.60.56/~jnz1568/getInfo.php?workbook=14_06.xlsx&amp;sheet=U0&amp;row=3650&amp;col=7&amp;number=0.000865&amp;sourceID=14","0.000865")</f>
        <v>0.000865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HYPERLINK("http://141.218.60.56/~jnz1568/getInfo.php?workbook=14_06.xlsx&amp;sheet=U0&amp;row=3651&amp;col=6&amp;number=3.7&amp;sourceID=14","3.7")</f>
        <v>3.7</v>
      </c>
      <c r="G3651" s="4" t="str">
        <f>HYPERLINK("http://141.218.60.56/~jnz1568/getInfo.php?workbook=14_06.xlsx&amp;sheet=U0&amp;row=3651&amp;col=7&amp;number=0.000865&amp;sourceID=14","0.000865")</f>
        <v>0.000865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HYPERLINK("http://141.218.60.56/~jnz1568/getInfo.php?workbook=14_06.xlsx&amp;sheet=U0&amp;row=3652&amp;col=6&amp;number=3.8&amp;sourceID=14","3.8")</f>
        <v>3.8</v>
      </c>
      <c r="G3652" s="4" t="str">
        <f>HYPERLINK("http://141.218.60.56/~jnz1568/getInfo.php?workbook=14_06.xlsx&amp;sheet=U0&amp;row=3652&amp;col=7&amp;number=0.000866&amp;sourceID=14","0.000866")</f>
        <v>0.000866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HYPERLINK("http://141.218.60.56/~jnz1568/getInfo.php?workbook=14_06.xlsx&amp;sheet=U0&amp;row=3653&amp;col=6&amp;number=3.9&amp;sourceID=14","3.9")</f>
        <v>3.9</v>
      </c>
      <c r="G3653" s="4" t="str">
        <f>HYPERLINK("http://141.218.60.56/~jnz1568/getInfo.php?workbook=14_06.xlsx&amp;sheet=U0&amp;row=3653&amp;col=7&amp;number=0.000866&amp;sourceID=14","0.000866")</f>
        <v>0.000866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HYPERLINK("http://141.218.60.56/~jnz1568/getInfo.php?workbook=14_06.xlsx&amp;sheet=U0&amp;row=3654&amp;col=6&amp;number=4&amp;sourceID=14","4")</f>
        <v>4</v>
      </c>
      <c r="G3654" s="4" t="str">
        <f>HYPERLINK("http://141.218.60.56/~jnz1568/getInfo.php?workbook=14_06.xlsx&amp;sheet=U0&amp;row=3654&amp;col=7&amp;number=0.000866&amp;sourceID=14","0.000866")</f>
        <v>0.000866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HYPERLINK("http://141.218.60.56/~jnz1568/getInfo.php?workbook=14_06.xlsx&amp;sheet=U0&amp;row=3655&amp;col=6&amp;number=4.1&amp;sourceID=14","4.1")</f>
        <v>4.1</v>
      </c>
      <c r="G3655" s="4" t="str">
        <f>HYPERLINK("http://141.218.60.56/~jnz1568/getInfo.php?workbook=14_06.xlsx&amp;sheet=U0&amp;row=3655&amp;col=7&amp;number=0.000867&amp;sourceID=14","0.000867")</f>
        <v>0.000867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HYPERLINK("http://141.218.60.56/~jnz1568/getInfo.php?workbook=14_06.xlsx&amp;sheet=U0&amp;row=3656&amp;col=6&amp;number=4.2&amp;sourceID=14","4.2")</f>
        <v>4.2</v>
      </c>
      <c r="G3656" s="4" t="str">
        <f>HYPERLINK("http://141.218.60.56/~jnz1568/getInfo.php?workbook=14_06.xlsx&amp;sheet=U0&amp;row=3656&amp;col=7&amp;number=0.000867&amp;sourceID=14","0.000867")</f>
        <v>0.000867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HYPERLINK("http://141.218.60.56/~jnz1568/getInfo.php?workbook=14_06.xlsx&amp;sheet=U0&amp;row=3657&amp;col=6&amp;number=4.3&amp;sourceID=14","4.3")</f>
        <v>4.3</v>
      </c>
      <c r="G3657" s="4" t="str">
        <f>HYPERLINK("http://141.218.60.56/~jnz1568/getInfo.php?workbook=14_06.xlsx&amp;sheet=U0&amp;row=3657&amp;col=7&amp;number=0.000868&amp;sourceID=14","0.000868")</f>
        <v>0.000868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HYPERLINK("http://141.218.60.56/~jnz1568/getInfo.php?workbook=14_06.xlsx&amp;sheet=U0&amp;row=3658&amp;col=6&amp;number=4.4&amp;sourceID=14","4.4")</f>
        <v>4.4</v>
      </c>
      <c r="G3658" s="4" t="str">
        <f>HYPERLINK("http://141.218.60.56/~jnz1568/getInfo.php?workbook=14_06.xlsx&amp;sheet=U0&amp;row=3658&amp;col=7&amp;number=0.000869&amp;sourceID=14","0.000869")</f>
        <v>0.000869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HYPERLINK("http://141.218.60.56/~jnz1568/getInfo.php?workbook=14_06.xlsx&amp;sheet=U0&amp;row=3659&amp;col=6&amp;number=4.5&amp;sourceID=14","4.5")</f>
        <v>4.5</v>
      </c>
      <c r="G3659" s="4" t="str">
        <f>HYPERLINK("http://141.218.60.56/~jnz1568/getInfo.php?workbook=14_06.xlsx&amp;sheet=U0&amp;row=3659&amp;col=7&amp;number=0.00087&amp;sourceID=14","0.00087")</f>
        <v>0.00087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HYPERLINK("http://141.218.60.56/~jnz1568/getInfo.php?workbook=14_06.xlsx&amp;sheet=U0&amp;row=3660&amp;col=6&amp;number=4.6&amp;sourceID=14","4.6")</f>
        <v>4.6</v>
      </c>
      <c r="G3660" s="4" t="str">
        <f>HYPERLINK("http://141.218.60.56/~jnz1568/getInfo.php?workbook=14_06.xlsx&amp;sheet=U0&amp;row=3660&amp;col=7&amp;number=0.000871&amp;sourceID=14","0.000871")</f>
        <v>0.000871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HYPERLINK("http://141.218.60.56/~jnz1568/getInfo.php?workbook=14_06.xlsx&amp;sheet=U0&amp;row=3661&amp;col=6&amp;number=4.7&amp;sourceID=14","4.7")</f>
        <v>4.7</v>
      </c>
      <c r="G3661" s="4" t="str">
        <f>HYPERLINK("http://141.218.60.56/~jnz1568/getInfo.php?workbook=14_06.xlsx&amp;sheet=U0&amp;row=3661&amp;col=7&amp;number=0.000873&amp;sourceID=14","0.000873")</f>
        <v>0.000873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HYPERLINK("http://141.218.60.56/~jnz1568/getInfo.php?workbook=14_06.xlsx&amp;sheet=U0&amp;row=3662&amp;col=6&amp;number=4.8&amp;sourceID=14","4.8")</f>
        <v>4.8</v>
      </c>
      <c r="G3662" s="4" t="str">
        <f>HYPERLINK("http://141.218.60.56/~jnz1568/getInfo.php?workbook=14_06.xlsx&amp;sheet=U0&amp;row=3662&amp;col=7&amp;number=0.000875&amp;sourceID=14","0.000875")</f>
        <v>0.000875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HYPERLINK("http://141.218.60.56/~jnz1568/getInfo.php?workbook=14_06.xlsx&amp;sheet=U0&amp;row=3663&amp;col=6&amp;number=4.9&amp;sourceID=14","4.9")</f>
        <v>4.9</v>
      </c>
      <c r="G3663" s="4" t="str">
        <f>HYPERLINK("http://141.218.60.56/~jnz1568/getInfo.php?workbook=14_06.xlsx&amp;sheet=U0&amp;row=3663&amp;col=7&amp;number=0.000877&amp;sourceID=14","0.000877")</f>
        <v>0.000877</v>
      </c>
    </row>
    <row r="3664" spans="1:7">
      <c r="A3664" s="3">
        <v>14</v>
      </c>
      <c r="B3664" s="3">
        <v>6</v>
      </c>
      <c r="C3664" s="3">
        <v>5</v>
      </c>
      <c r="D3664" s="3">
        <v>15</v>
      </c>
      <c r="E3664" s="3">
        <v>1</v>
      </c>
      <c r="F3664" s="4" t="str">
        <f>HYPERLINK("http://141.218.60.56/~jnz1568/getInfo.php?workbook=14_06.xlsx&amp;sheet=U0&amp;row=3664&amp;col=6&amp;number=3&amp;sourceID=14","3")</f>
        <v>3</v>
      </c>
      <c r="G3664" s="4" t="str">
        <f>HYPERLINK("http://141.218.60.56/~jnz1568/getInfo.php?workbook=14_06.xlsx&amp;sheet=U0&amp;row=3664&amp;col=7&amp;number=0.412&amp;sourceID=14","0.412")</f>
        <v>0.412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HYPERLINK("http://141.218.60.56/~jnz1568/getInfo.php?workbook=14_06.xlsx&amp;sheet=U0&amp;row=3665&amp;col=6&amp;number=3.1&amp;sourceID=14","3.1")</f>
        <v>3.1</v>
      </c>
      <c r="G3665" s="4" t="str">
        <f>HYPERLINK("http://141.218.60.56/~jnz1568/getInfo.php?workbook=14_06.xlsx&amp;sheet=U0&amp;row=3665&amp;col=7&amp;number=0.412&amp;sourceID=14","0.412")</f>
        <v>0.412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HYPERLINK("http://141.218.60.56/~jnz1568/getInfo.php?workbook=14_06.xlsx&amp;sheet=U0&amp;row=3666&amp;col=6&amp;number=3.2&amp;sourceID=14","3.2")</f>
        <v>3.2</v>
      </c>
      <c r="G3666" s="4" t="str">
        <f>HYPERLINK("http://141.218.60.56/~jnz1568/getInfo.php?workbook=14_06.xlsx&amp;sheet=U0&amp;row=3666&amp;col=7&amp;number=0.412&amp;sourceID=14","0.412")</f>
        <v>0.412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HYPERLINK("http://141.218.60.56/~jnz1568/getInfo.php?workbook=14_06.xlsx&amp;sheet=U0&amp;row=3667&amp;col=6&amp;number=3.3&amp;sourceID=14","3.3")</f>
        <v>3.3</v>
      </c>
      <c r="G3667" s="4" t="str">
        <f>HYPERLINK("http://141.218.60.56/~jnz1568/getInfo.php?workbook=14_06.xlsx&amp;sheet=U0&amp;row=3667&amp;col=7&amp;number=0.412&amp;sourceID=14","0.412")</f>
        <v>0.412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HYPERLINK("http://141.218.60.56/~jnz1568/getInfo.php?workbook=14_06.xlsx&amp;sheet=U0&amp;row=3668&amp;col=6&amp;number=3.4&amp;sourceID=14","3.4")</f>
        <v>3.4</v>
      </c>
      <c r="G3668" s="4" t="str">
        <f>HYPERLINK("http://141.218.60.56/~jnz1568/getInfo.php?workbook=14_06.xlsx&amp;sheet=U0&amp;row=3668&amp;col=7&amp;number=0.412&amp;sourceID=14","0.412")</f>
        <v>0.412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HYPERLINK("http://141.218.60.56/~jnz1568/getInfo.php?workbook=14_06.xlsx&amp;sheet=U0&amp;row=3669&amp;col=6&amp;number=3.5&amp;sourceID=14","3.5")</f>
        <v>3.5</v>
      </c>
      <c r="G3669" s="4" t="str">
        <f>HYPERLINK("http://141.218.60.56/~jnz1568/getInfo.php?workbook=14_06.xlsx&amp;sheet=U0&amp;row=3669&amp;col=7&amp;number=0.412&amp;sourceID=14","0.412")</f>
        <v>0.412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HYPERLINK("http://141.218.60.56/~jnz1568/getInfo.php?workbook=14_06.xlsx&amp;sheet=U0&amp;row=3670&amp;col=6&amp;number=3.6&amp;sourceID=14","3.6")</f>
        <v>3.6</v>
      </c>
      <c r="G3670" s="4" t="str">
        <f>HYPERLINK("http://141.218.60.56/~jnz1568/getInfo.php?workbook=14_06.xlsx&amp;sheet=U0&amp;row=3670&amp;col=7&amp;number=0.412&amp;sourceID=14","0.412")</f>
        <v>0.412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HYPERLINK("http://141.218.60.56/~jnz1568/getInfo.php?workbook=14_06.xlsx&amp;sheet=U0&amp;row=3671&amp;col=6&amp;number=3.7&amp;sourceID=14","3.7")</f>
        <v>3.7</v>
      </c>
      <c r="G3671" s="4" t="str">
        <f>HYPERLINK("http://141.218.60.56/~jnz1568/getInfo.php?workbook=14_06.xlsx&amp;sheet=U0&amp;row=3671&amp;col=7&amp;number=0.412&amp;sourceID=14","0.412")</f>
        <v>0.412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HYPERLINK("http://141.218.60.56/~jnz1568/getInfo.php?workbook=14_06.xlsx&amp;sheet=U0&amp;row=3672&amp;col=6&amp;number=3.8&amp;sourceID=14","3.8")</f>
        <v>3.8</v>
      </c>
      <c r="G3672" s="4" t="str">
        <f>HYPERLINK("http://141.218.60.56/~jnz1568/getInfo.php?workbook=14_06.xlsx&amp;sheet=U0&amp;row=3672&amp;col=7&amp;number=0.413&amp;sourceID=14","0.413")</f>
        <v>0.413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HYPERLINK("http://141.218.60.56/~jnz1568/getInfo.php?workbook=14_06.xlsx&amp;sheet=U0&amp;row=3673&amp;col=6&amp;number=3.9&amp;sourceID=14","3.9")</f>
        <v>3.9</v>
      </c>
      <c r="G3673" s="4" t="str">
        <f>HYPERLINK("http://141.218.60.56/~jnz1568/getInfo.php?workbook=14_06.xlsx&amp;sheet=U0&amp;row=3673&amp;col=7&amp;number=0.413&amp;sourceID=14","0.413")</f>
        <v>0.413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HYPERLINK("http://141.218.60.56/~jnz1568/getInfo.php?workbook=14_06.xlsx&amp;sheet=U0&amp;row=3674&amp;col=6&amp;number=4&amp;sourceID=14","4")</f>
        <v>4</v>
      </c>
      <c r="G3674" s="4" t="str">
        <f>HYPERLINK("http://141.218.60.56/~jnz1568/getInfo.php?workbook=14_06.xlsx&amp;sheet=U0&amp;row=3674&amp;col=7&amp;number=0.413&amp;sourceID=14","0.413")</f>
        <v>0.413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HYPERLINK("http://141.218.60.56/~jnz1568/getInfo.php?workbook=14_06.xlsx&amp;sheet=U0&amp;row=3675&amp;col=6&amp;number=4.1&amp;sourceID=14","4.1")</f>
        <v>4.1</v>
      </c>
      <c r="G3675" s="4" t="str">
        <f>HYPERLINK("http://141.218.60.56/~jnz1568/getInfo.php?workbook=14_06.xlsx&amp;sheet=U0&amp;row=3675&amp;col=7&amp;number=0.414&amp;sourceID=14","0.414")</f>
        <v>0.414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HYPERLINK("http://141.218.60.56/~jnz1568/getInfo.php?workbook=14_06.xlsx&amp;sheet=U0&amp;row=3676&amp;col=6&amp;number=4.2&amp;sourceID=14","4.2")</f>
        <v>4.2</v>
      </c>
      <c r="G3676" s="4" t="str">
        <f>HYPERLINK("http://141.218.60.56/~jnz1568/getInfo.php?workbook=14_06.xlsx&amp;sheet=U0&amp;row=3676&amp;col=7&amp;number=0.414&amp;sourceID=14","0.414")</f>
        <v>0.414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HYPERLINK("http://141.218.60.56/~jnz1568/getInfo.php?workbook=14_06.xlsx&amp;sheet=U0&amp;row=3677&amp;col=6&amp;number=4.3&amp;sourceID=14","4.3")</f>
        <v>4.3</v>
      </c>
      <c r="G3677" s="4" t="str">
        <f>HYPERLINK("http://141.218.60.56/~jnz1568/getInfo.php?workbook=14_06.xlsx&amp;sheet=U0&amp;row=3677&amp;col=7&amp;number=0.415&amp;sourceID=14","0.415")</f>
        <v>0.415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HYPERLINK("http://141.218.60.56/~jnz1568/getInfo.php?workbook=14_06.xlsx&amp;sheet=U0&amp;row=3678&amp;col=6&amp;number=4.4&amp;sourceID=14","4.4")</f>
        <v>4.4</v>
      </c>
      <c r="G3678" s="4" t="str">
        <f>HYPERLINK("http://141.218.60.56/~jnz1568/getInfo.php?workbook=14_06.xlsx&amp;sheet=U0&amp;row=3678&amp;col=7&amp;number=0.416&amp;sourceID=14","0.416")</f>
        <v>0.416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HYPERLINK("http://141.218.60.56/~jnz1568/getInfo.php?workbook=14_06.xlsx&amp;sheet=U0&amp;row=3679&amp;col=6&amp;number=4.5&amp;sourceID=14","4.5")</f>
        <v>4.5</v>
      </c>
      <c r="G3679" s="4" t="str">
        <f>HYPERLINK("http://141.218.60.56/~jnz1568/getInfo.php?workbook=14_06.xlsx&amp;sheet=U0&amp;row=3679&amp;col=7&amp;number=0.417&amp;sourceID=14","0.417")</f>
        <v>0.417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HYPERLINK("http://141.218.60.56/~jnz1568/getInfo.php?workbook=14_06.xlsx&amp;sheet=U0&amp;row=3680&amp;col=6&amp;number=4.6&amp;sourceID=14","4.6")</f>
        <v>4.6</v>
      </c>
      <c r="G3680" s="4" t="str">
        <f>HYPERLINK("http://141.218.60.56/~jnz1568/getInfo.php?workbook=14_06.xlsx&amp;sheet=U0&amp;row=3680&amp;col=7&amp;number=0.419&amp;sourceID=14","0.419")</f>
        <v>0.419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HYPERLINK("http://141.218.60.56/~jnz1568/getInfo.php?workbook=14_06.xlsx&amp;sheet=U0&amp;row=3681&amp;col=6&amp;number=4.7&amp;sourceID=14","4.7")</f>
        <v>4.7</v>
      </c>
      <c r="G3681" s="4" t="str">
        <f>HYPERLINK("http://141.218.60.56/~jnz1568/getInfo.php?workbook=14_06.xlsx&amp;sheet=U0&amp;row=3681&amp;col=7&amp;number=0.421&amp;sourceID=14","0.421")</f>
        <v>0.421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HYPERLINK("http://141.218.60.56/~jnz1568/getInfo.php?workbook=14_06.xlsx&amp;sheet=U0&amp;row=3682&amp;col=6&amp;number=4.8&amp;sourceID=14","4.8")</f>
        <v>4.8</v>
      </c>
      <c r="G3682" s="4" t="str">
        <f>HYPERLINK("http://141.218.60.56/~jnz1568/getInfo.php?workbook=14_06.xlsx&amp;sheet=U0&amp;row=3682&amp;col=7&amp;number=0.423&amp;sourceID=14","0.423")</f>
        <v>0.423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HYPERLINK("http://141.218.60.56/~jnz1568/getInfo.php?workbook=14_06.xlsx&amp;sheet=U0&amp;row=3683&amp;col=6&amp;number=4.9&amp;sourceID=14","4.9")</f>
        <v>4.9</v>
      </c>
      <c r="G3683" s="4" t="str">
        <f>HYPERLINK("http://141.218.60.56/~jnz1568/getInfo.php?workbook=14_06.xlsx&amp;sheet=U0&amp;row=3683&amp;col=7&amp;number=0.426&amp;sourceID=14","0.426")</f>
        <v>0.426</v>
      </c>
    </row>
    <row r="3684" spans="1:7">
      <c r="A3684" s="3">
        <v>14</v>
      </c>
      <c r="B3684" s="3">
        <v>6</v>
      </c>
      <c r="C3684" s="3">
        <v>5</v>
      </c>
      <c r="D3684" s="3">
        <v>16</v>
      </c>
      <c r="E3684" s="3">
        <v>1</v>
      </c>
      <c r="F3684" s="4" t="str">
        <f>HYPERLINK("http://141.218.60.56/~jnz1568/getInfo.php?workbook=14_06.xlsx&amp;sheet=U0&amp;row=3684&amp;col=6&amp;number=3&amp;sourceID=14","3")</f>
        <v>3</v>
      </c>
      <c r="G3684" s="4" t="str">
        <f>HYPERLINK("http://141.218.60.56/~jnz1568/getInfo.php?workbook=14_06.xlsx&amp;sheet=U0&amp;row=3684&amp;col=7&amp;number=0.000223&amp;sourceID=14","0.000223")</f>
        <v>0.000223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HYPERLINK("http://141.218.60.56/~jnz1568/getInfo.php?workbook=14_06.xlsx&amp;sheet=U0&amp;row=3685&amp;col=6&amp;number=3.1&amp;sourceID=14","3.1")</f>
        <v>3.1</v>
      </c>
      <c r="G3685" s="4" t="str">
        <f>HYPERLINK("http://141.218.60.56/~jnz1568/getInfo.php?workbook=14_06.xlsx&amp;sheet=U0&amp;row=3685&amp;col=7&amp;number=0.000223&amp;sourceID=14","0.000223")</f>
        <v>0.000223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HYPERLINK("http://141.218.60.56/~jnz1568/getInfo.php?workbook=14_06.xlsx&amp;sheet=U0&amp;row=3686&amp;col=6&amp;number=3.2&amp;sourceID=14","3.2")</f>
        <v>3.2</v>
      </c>
      <c r="G3686" s="4" t="str">
        <f>HYPERLINK("http://141.218.60.56/~jnz1568/getInfo.php?workbook=14_06.xlsx&amp;sheet=U0&amp;row=3686&amp;col=7&amp;number=0.000223&amp;sourceID=14","0.000223")</f>
        <v>0.000223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HYPERLINK("http://141.218.60.56/~jnz1568/getInfo.php?workbook=14_06.xlsx&amp;sheet=U0&amp;row=3687&amp;col=6&amp;number=3.3&amp;sourceID=14","3.3")</f>
        <v>3.3</v>
      </c>
      <c r="G3687" s="4" t="str">
        <f>HYPERLINK("http://141.218.60.56/~jnz1568/getInfo.php?workbook=14_06.xlsx&amp;sheet=U0&amp;row=3687&amp;col=7&amp;number=0.000223&amp;sourceID=14","0.000223")</f>
        <v>0.000223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HYPERLINK("http://141.218.60.56/~jnz1568/getInfo.php?workbook=14_06.xlsx&amp;sheet=U0&amp;row=3688&amp;col=6&amp;number=3.4&amp;sourceID=14","3.4")</f>
        <v>3.4</v>
      </c>
      <c r="G3688" s="4" t="str">
        <f>HYPERLINK("http://141.218.60.56/~jnz1568/getInfo.php?workbook=14_06.xlsx&amp;sheet=U0&amp;row=3688&amp;col=7&amp;number=0.000223&amp;sourceID=14","0.000223")</f>
        <v>0.000223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HYPERLINK("http://141.218.60.56/~jnz1568/getInfo.php?workbook=14_06.xlsx&amp;sheet=U0&amp;row=3689&amp;col=6&amp;number=3.5&amp;sourceID=14","3.5")</f>
        <v>3.5</v>
      </c>
      <c r="G3689" s="4" t="str">
        <f>HYPERLINK("http://141.218.60.56/~jnz1568/getInfo.php?workbook=14_06.xlsx&amp;sheet=U0&amp;row=3689&amp;col=7&amp;number=0.000223&amp;sourceID=14","0.000223")</f>
        <v>0.000223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HYPERLINK("http://141.218.60.56/~jnz1568/getInfo.php?workbook=14_06.xlsx&amp;sheet=U0&amp;row=3690&amp;col=6&amp;number=3.6&amp;sourceID=14","3.6")</f>
        <v>3.6</v>
      </c>
      <c r="G3690" s="4" t="str">
        <f>HYPERLINK("http://141.218.60.56/~jnz1568/getInfo.php?workbook=14_06.xlsx&amp;sheet=U0&amp;row=3690&amp;col=7&amp;number=0.000223&amp;sourceID=14","0.000223")</f>
        <v>0.000223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HYPERLINK("http://141.218.60.56/~jnz1568/getInfo.php?workbook=14_06.xlsx&amp;sheet=U0&amp;row=3691&amp;col=6&amp;number=3.7&amp;sourceID=14","3.7")</f>
        <v>3.7</v>
      </c>
      <c r="G3691" s="4" t="str">
        <f>HYPERLINK("http://141.218.60.56/~jnz1568/getInfo.php?workbook=14_06.xlsx&amp;sheet=U0&amp;row=3691&amp;col=7&amp;number=0.000223&amp;sourceID=14","0.000223")</f>
        <v>0.000223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HYPERLINK("http://141.218.60.56/~jnz1568/getInfo.php?workbook=14_06.xlsx&amp;sheet=U0&amp;row=3692&amp;col=6&amp;number=3.8&amp;sourceID=14","3.8")</f>
        <v>3.8</v>
      </c>
      <c r="G3692" s="4" t="str">
        <f>HYPERLINK("http://141.218.60.56/~jnz1568/getInfo.php?workbook=14_06.xlsx&amp;sheet=U0&amp;row=3692&amp;col=7&amp;number=0.000223&amp;sourceID=14","0.000223")</f>
        <v>0.000223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HYPERLINK("http://141.218.60.56/~jnz1568/getInfo.php?workbook=14_06.xlsx&amp;sheet=U0&amp;row=3693&amp;col=6&amp;number=3.9&amp;sourceID=14","3.9")</f>
        <v>3.9</v>
      </c>
      <c r="G3693" s="4" t="str">
        <f>HYPERLINK("http://141.218.60.56/~jnz1568/getInfo.php?workbook=14_06.xlsx&amp;sheet=U0&amp;row=3693&amp;col=7&amp;number=0.000223&amp;sourceID=14","0.000223")</f>
        <v>0.000223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HYPERLINK("http://141.218.60.56/~jnz1568/getInfo.php?workbook=14_06.xlsx&amp;sheet=U0&amp;row=3694&amp;col=6&amp;number=4&amp;sourceID=14","4")</f>
        <v>4</v>
      </c>
      <c r="G3694" s="4" t="str">
        <f>HYPERLINK("http://141.218.60.56/~jnz1568/getInfo.php?workbook=14_06.xlsx&amp;sheet=U0&amp;row=3694&amp;col=7&amp;number=0.000222&amp;sourceID=14","0.000222")</f>
        <v>0.000222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HYPERLINK("http://141.218.60.56/~jnz1568/getInfo.php?workbook=14_06.xlsx&amp;sheet=U0&amp;row=3695&amp;col=6&amp;number=4.1&amp;sourceID=14","4.1")</f>
        <v>4.1</v>
      </c>
      <c r="G3695" s="4" t="str">
        <f>HYPERLINK("http://141.218.60.56/~jnz1568/getInfo.php?workbook=14_06.xlsx&amp;sheet=U0&amp;row=3695&amp;col=7&amp;number=0.000222&amp;sourceID=14","0.000222")</f>
        <v>0.000222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HYPERLINK("http://141.218.60.56/~jnz1568/getInfo.php?workbook=14_06.xlsx&amp;sheet=U0&amp;row=3696&amp;col=6&amp;number=4.2&amp;sourceID=14","4.2")</f>
        <v>4.2</v>
      </c>
      <c r="G3696" s="4" t="str">
        <f>HYPERLINK("http://141.218.60.56/~jnz1568/getInfo.php?workbook=14_06.xlsx&amp;sheet=U0&amp;row=3696&amp;col=7&amp;number=0.000222&amp;sourceID=14","0.000222")</f>
        <v>0.000222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HYPERLINK("http://141.218.60.56/~jnz1568/getInfo.php?workbook=14_06.xlsx&amp;sheet=U0&amp;row=3697&amp;col=6&amp;number=4.3&amp;sourceID=14","4.3")</f>
        <v>4.3</v>
      </c>
      <c r="G3697" s="4" t="str">
        <f>HYPERLINK("http://141.218.60.56/~jnz1568/getInfo.php?workbook=14_06.xlsx&amp;sheet=U0&amp;row=3697&amp;col=7&amp;number=0.000222&amp;sourceID=14","0.000222")</f>
        <v>0.000222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HYPERLINK("http://141.218.60.56/~jnz1568/getInfo.php?workbook=14_06.xlsx&amp;sheet=U0&amp;row=3698&amp;col=6&amp;number=4.4&amp;sourceID=14","4.4")</f>
        <v>4.4</v>
      </c>
      <c r="G3698" s="4" t="str">
        <f>HYPERLINK("http://141.218.60.56/~jnz1568/getInfo.php?workbook=14_06.xlsx&amp;sheet=U0&amp;row=3698&amp;col=7&amp;number=0.000222&amp;sourceID=14","0.000222")</f>
        <v>0.000222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HYPERLINK("http://141.218.60.56/~jnz1568/getInfo.php?workbook=14_06.xlsx&amp;sheet=U0&amp;row=3699&amp;col=6&amp;number=4.5&amp;sourceID=14","4.5")</f>
        <v>4.5</v>
      </c>
      <c r="G3699" s="4" t="str">
        <f>HYPERLINK("http://141.218.60.56/~jnz1568/getInfo.php?workbook=14_06.xlsx&amp;sheet=U0&amp;row=3699&amp;col=7&amp;number=0.000221&amp;sourceID=14","0.000221")</f>
        <v>0.000221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HYPERLINK("http://141.218.60.56/~jnz1568/getInfo.php?workbook=14_06.xlsx&amp;sheet=U0&amp;row=3700&amp;col=6&amp;number=4.6&amp;sourceID=14","4.6")</f>
        <v>4.6</v>
      </c>
      <c r="G3700" s="4" t="str">
        <f>HYPERLINK("http://141.218.60.56/~jnz1568/getInfo.php?workbook=14_06.xlsx&amp;sheet=U0&amp;row=3700&amp;col=7&amp;number=0.000221&amp;sourceID=14","0.000221")</f>
        <v>0.000221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HYPERLINK("http://141.218.60.56/~jnz1568/getInfo.php?workbook=14_06.xlsx&amp;sheet=U0&amp;row=3701&amp;col=6&amp;number=4.7&amp;sourceID=14","4.7")</f>
        <v>4.7</v>
      </c>
      <c r="G3701" s="4" t="str">
        <f>HYPERLINK("http://141.218.60.56/~jnz1568/getInfo.php?workbook=14_06.xlsx&amp;sheet=U0&amp;row=3701&amp;col=7&amp;number=0.00022&amp;sourceID=14","0.00022")</f>
        <v>0.00022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HYPERLINK("http://141.218.60.56/~jnz1568/getInfo.php?workbook=14_06.xlsx&amp;sheet=U0&amp;row=3702&amp;col=6&amp;number=4.8&amp;sourceID=14","4.8")</f>
        <v>4.8</v>
      </c>
      <c r="G3702" s="4" t="str">
        <f>HYPERLINK("http://141.218.60.56/~jnz1568/getInfo.php?workbook=14_06.xlsx&amp;sheet=U0&amp;row=3702&amp;col=7&amp;number=0.00022&amp;sourceID=14","0.00022")</f>
        <v>0.00022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HYPERLINK("http://141.218.60.56/~jnz1568/getInfo.php?workbook=14_06.xlsx&amp;sheet=U0&amp;row=3703&amp;col=6&amp;number=4.9&amp;sourceID=14","4.9")</f>
        <v>4.9</v>
      </c>
      <c r="G3703" s="4" t="str">
        <f>HYPERLINK("http://141.218.60.56/~jnz1568/getInfo.php?workbook=14_06.xlsx&amp;sheet=U0&amp;row=3703&amp;col=7&amp;number=0.000219&amp;sourceID=14","0.000219")</f>
        <v>0.000219</v>
      </c>
    </row>
    <row r="3704" spans="1:7">
      <c r="A3704" s="3">
        <v>14</v>
      </c>
      <c r="B3704" s="3">
        <v>6</v>
      </c>
      <c r="C3704" s="3">
        <v>5</v>
      </c>
      <c r="D3704" s="3">
        <v>17</v>
      </c>
      <c r="E3704" s="3">
        <v>1</v>
      </c>
      <c r="F3704" s="4" t="str">
        <f>HYPERLINK("http://141.218.60.56/~jnz1568/getInfo.php?workbook=14_06.xlsx&amp;sheet=U0&amp;row=3704&amp;col=6&amp;number=3&amp;sourceID=14","3")</f>
        <v>3</v>
      </c>
      <c r="G3704" s="4" t="str">
        <f>HYPERLINK("http://141.218.60.56/~jnz1568/getInfo.php?workbook=14_06.xlsx&amp;sheet=U0&amp;row=3704&amp;col=7&amp;number=0.000168&amp;sourceID=14","0.000168")</f>
        <v>0.000168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HYPERLINK("http://141.218.60.56/~jnz1568/getInfo.php?workbook=14_06.xlsx&amp;sheet=U0&amp;row=3705&amp;col=6&amp;number=3.1&amp;sourceID=14","3.1")</f>
        <v>3.1</v>
      </c>
      <c r="G3705" s="4" t="str">
        <f>HYPERLINK("http://141.218.60.56/~jnz1568/getInfo.php?workbook=14_06.xlsx&amp;sheet=U0&amp;row=3705&amp;col=7&amp;number=0.000168&amp;sourceID=14","0.000168")</f>
        <v>0.000168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HYPERLINK("http://141.218.60.56/~jnz1568/getInfo.php?workbook=14_06.xlsx&amp;sheet=U0&amp;row=3706&amp;col=6&amp;number=3.2&amp;sourceID=14","3.2")</f>
        <v>3.2</v>
      </c>
      <c r="G3706" s="4" t="str">
        <f>HYPERLINK("http://141.218.60.56/~jnz1568/getInfo.php?workbook=14_06.xlsx&amp;sheet=U0&amp;row=3706&amp;col=7&amp;number=0.000168&amp;sourceID=14","0.000168")</f>
        <v>0.000168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HYPERLINK("http://141.218.60.56/~jnz1568/getInfo.php?workbook=14_06.xlsx&amp;sheet=U0&amp;row=3707&amp;col=6&amp;number=3.3&amp;sourceID=14","3.3")</f>
        <v>3.3</v>
      </c>
      <c r="G3707" s="4" t="str">
        <f>HYPERLINK("http://141.218.60.56/~jnz1568/getInfo.php?workbook=14_06.xlsx&amp;sheet=U0&amp;row=3707&amp;col=7&amp;number=0.000168&amp;sourceID=14","0.000168")</f>
        <v>0.000168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HYPERLINK("http://141.218.60.56/~jnz1568/getInfo.php?workbook=14_06.xlsx&amp;sheet=U0&amp;row=3708&amp;col=6&amp;number=3.4&amp;sourceID=14","3.4")</f>
        <v>3.4</v>
      </c>
      <c r="G3708" s="4" t="str">
        <f>HYPERLINK("http://141.218.60.56/~jnz1568/getInfo.php?workbook=14_06.xlsx&amp;sheet=U0&amp;row=3708&amp;col=7&amp;number=0.000168&amp;sourceID=14","0.000168")</f>
        <v>0.000168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HYPERLINK("http://141.218.60.56/~jnz1568/getInfo.php?workbook=14_06.xlsx&amp;sheet=U0&amp;row=3709&amp;col=6&amp;number=3.5&amp;sourceID=14","3.5")</f>
        <v>3.5</v>
      </c>
      <c r="G3709" s="4" t="str">
        <f>HYPERLINK("http://141.218.60.56/~jnz1568/getInfo.php?workbook=14_06.xlsx&amp;sheet=U0&amp;row=3709&amp;col=7&amp;number=0.000168&amp;sourceID=14","0.000168")</f>
        <v>0.000168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HYPERLINK("http://141.218.60.56/~jnz1568/getInfo.php?workbook=14_06.xlsx&amp;sheet=U0&amp;row=3710&amp;col=6&amp;number=3.6&amp;sourceID=14","3.6")</f>
        <v>3.6</v>
      </c>
      <c r="G3710" s="4" t="str">
        <f>HYPERLINK("http://141.218.60.56/~jnz1568/getInfo.php?workbook=14_06.xlsx&amp;sheet=U0&amp;row=3710&amp;col=7&amp;number=0.000168&amp;sourceID=14","0.000168")</f>
        <v>0.000168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HYPERLINK("http://141.218.60.56/~jnz1568/getInfo.php?workbook=14_06.xlsx&amp;sheet=U0&amp;row=3711&amp;col=6&amp;number=3.7&amp;sourceID=14","3.7")</f>
        <v>3.7</v>
      </c>
      <c r="G3711" s="4" t="str">
        <f>HYPERLINK("http://141.218.60.56/~jnz1568/getInfo.php?workbook=14_06.xlsx&amp;sheet=U0&amp;row=3711&amp;col=7&amp;number=0.000168&amp;sourceID=14","0.000168")</f>
        <v>0.000168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HYPERLINK("http://141.218.60.56/~jnz1568/getInfo.php?workbook=14_06.xlsx&amp;sheet=U0&amp;row=3712&amp;col=6&amp;number=3.8&amp;sourceID=14","3.8")</f>
        <v>3.8</v>
      </c>
      <c r="G3712" s="4" t="str">
        <f>HYPERLINK("http://141.218.60.56/~jnz1568/getInfo.php?workbook=14_06.xlsx&amp;sheet=U0&amp;row=3712&amp;col=7&amp;number=0.000168&amp;sourceID=14","0.000168")</f>
        <v>0.000168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HYPERLINK("http://141.218.60.56/~jnz1568/getInfo.php?workbook=14_06.xlsx&amp;sheet=U0&amp;row=3713&amp;col=6&amp;number=3.9&amp;sourceID=14","3.9")</f>
        <v>3.9</v>
      </c>
      <c r="G3713" s="4" t="str">
        <f>HYPERLINK("http://141.218.60.56/~jnz1568/getInfo.php?workbook=14_06.xlsx&amp;sheet=U0&amp;row=3713&amp;col=7&amp;number=0.000168&amp;sourceID=14","0.000168")</f>
        <v>0.000168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HYPERLINK("http://141.218.60.56/~jnz1568/getInfo.php?workbook=14_06.xlsx&amp;sheet=U0&amp;row=3714&amp;col=6&amp;number=4&amp;sourceID=14","4")</f>
        <v>4</v>
      </c>
      <c r="G3714" s="4" t="str">
        <f>HYPERLINK("http://141.218.60.56/~jnz1568/getInfo.php?workbook=14_06.xlsx&amp;sheet=U0&amp;row=3714&amp;col=7&amp;number=0.000168&amp;sourceID=14","0.000168")</f>
        <v>0.000168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HYPERLINK("http://141.218.60.56/~jnz1568/getInfo.php?workbook=14_06.xlsx&amp;sheet=U0&amp;row=3715&amp;col=6&amp;number=4.1&amp;sourceID=14","4.1")</f>
        <v>4.1</v>
      </c>
      <c r="G3715" s="4" t="str">
        <f>HYPERLINK("http://141.218.60.56/~jnz1568/getInfo.php?workbook=14_06.xlsx&amp;sheet=U0&amp;row=3715&amp;col=7&amp;number=0.000168&amp;sourceID=14","0.000168")</f>
        <v>0.000168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HYPERLINK("http://141.218.60.56/~jnz1568/getInfo.php?workbook=14_06.xlsx&amp;sheet=U0&amp;row=3716&amp;col=6&amp;number=4.2&amp;sourceID=14","4.2")</f>
        <v>4.2</v>
      </c>
      <c r="G3716" s="4" t="str">
        <f>HYPERLINK("http://141.218.60.56/~jnz1568/getInfo.php?workbook=14_06.xlsx&amp;sheet=U0&amp;row=3716&amp;col=7&amp;number=0.000168&amp;sourceID=14","0.000168")</f>
        <v>0.000168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HYPERLINK("http://141.218.60.56/~jnz1568/getInfo.php?workbook=14_06.xlsx&amp;sheet=U0&amp;row=3717&amp;col=6&amp;number=4.3&amp;sourceID=14","4.3")</f>
        <v>4.3</v>
      </c>
      <c r="G3717" s="4" t="str">
        <f>HYPERLINK("http://141.218.60.56/~jnz1568/getInfo.php?workbook=14_06.xlsx&amp;sheet=U0&amp;row=3717&amp;col=7&amp;number=0.000168&amp;sourceID=14","0.000168")</f>
        <v>0.000168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HYPERLINK("http://141.218.60.56/~jnz1568/getInfo.php?workbook=14_06.xlsx&amp;sheet=U0&amp;row=3718&amp;col=6&amp;number=4.4&amp;sourceID=14","4.4")</f>
        <v>4.4</v>
      </c>
      <c r="G3718" s="4" t="str">
        <f>HYPERLINK("http://141.218.60.56/~jnz1568/getInfo.php?workbook=14_06.xlsx&amp;sheet=U0&amp;row=3718&amp;col=7&amp;number=0.000167&amp;sourceID=14","0.000167")</f>
        <v>0.000167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HYPERLINK("http://141.218.60.56/~jnz1568/getInfo.php?workbook=14_06.xlsx&amp;sheet=U0&amp;row=3719&amp;col=6&amp;number=4.5&amp;sourceID=14","4.5")</f>
        <v>4.5</v>
      </c>
      <c r="G3719" s="4" t="str">
        <f>HYPERLINK("http://141.218.60.56/~jnz1568/getInfo.php?workbook=14_06.xlsx&amp;sheet=U0&amp;row=3719&amp;col=7&amp;number=0.000167&amp;sourceID=14","0.000167")</f>
        <v>0.000167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HYPERLINK("http://141.218.60.56/~jnz1568/getInfo.php?workbook=14_06.xlsx&amp;sheet=U0&amp;row=3720&amp;col=6&amp;number=4.6&amp;sourceID=14","4.6")</f>
        <v>4.6</v>
      </c>
      <c r="G3720" s="4" t="str">
        <f>HYPERLINK("http://141.218.60.56/~jnz1568/getInfo.php?workbook=14_06.xlsx&amp;sheet=U0&amp;row=3720&amp;col=7&amp;number=0.000167&amp;sourceID=14","0.000167")</f>
        <v>0.000167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HYPERLINK("http://141.218.60.56/~jnz1568/getInfo.php?workbook=14_06.xlsx&amp;sheet=U0&amp;row=3721&amp;col=6&amp;number=4.7&amp;sourceID=14","4.7")</f>
        <v>4.7</v>
      </c>
      <c r="G3721" s="4" t="str">
        <f>HYPERLINK("http://141.218.60.56/~jnz1568/getInfo.php?workbook=14_06.xlsx&amp;sheet=U0&amp;row=3721&amp;col=7&amp;number=0.000166&amp;sourceID=14","0.000166")</f>
        <v>0.000166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HYPERLINK("http://141.218.60.56/~jnz1568/getInfo.php?workbook=14_06.xlsx&amp;sheet=U0&amp;row=3722&amp;col=6&amp;number=4.8&amp;sourceID=14","4.8")</f>
        <v>4.8</v>
      </c>
      <c r="G3722" s="4" t="str">
        <f>HYPERLINK("http://141.218.60.56/~jnz1568/getInfo.php?workbook=14_06.xlsx&amp;sheet=U0&amp;row=3722&amp;col=7&amp;number=0.000166&amp;sourceID=14","0.000166")</f>
        <v>0.000166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HYPERLINK("http://141.218.60.56/~jnz1568/getInfo.php?workbook=14_06.xlsx&amp;sheet=U0&amp;row=3723&amp;col=6&amp;number=4.9&amp;sourceID=14","4.9")</f>
        <v>4.9</v>
      </c>
      <c r="G3723" s="4" t="str">
        <f>HYPERLINK("http://141.218.60.56/~jnz1568/getInfo.php?workbook=14_06.xlsx&amp;sheet=U0&amp;row=3723&amp;col=7&amp;number=0.000165&amp;sourceID=14","0.000165")</f>
        <v>0.000165</v>
      </c>
    </row>
    <row r="3724" spans="1:7">
      <c r="A3724" s="3">
        <v>14</v>
      </c>
      <c r="B3724" s="3">
        <v>6</v>
      </c>
      <c r="C3724" s="3">
        <v>5</v>
      </c>
      <c r="D3724" s="3">
        <v>18</v>
      </c>
      <c r="E3724" s="3">
        <v>1</v>
      </c>
      <c r="F3724" s="4" t="str">
        <f>HYPERLINK("http://141.218.60.56/~jnz1568/getInfo.php?workbook=14_06.xlsx&amp;sheet=U0&amp;row=3724&amp;col=6&amp;number=3&amp;sourceID=14","3")</f>
        <v>3</v>
      </c>
      <c r="G3724" s="4" t="str">
        <f>HYPERLINK("http://141.218.60.56/~jnz1568/getInfo.php?workbook=14_06.xlsx&amp;sheet=U0&amp;row=3724&amp;col=7&amp;number=6.32e-05&amp;sourceID=14","6.32e-05")</f>
        <v>6.32e-05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HYPERLINK("http://141.218.60.56/~jnz1568/getInfo.php?workbook=14_06.xlsx&amp;sheet=U0&amp;row=3725&amp;col=6&amp;number=3.1&amp;sourceID=14","3.1")</f>
        <v>3.1</v>
      </c>
      <c r="G3725" s="4" t="str">
        <f>HYPERLINK("http://141.218.60.56/~jnz1568/getInfo.php?workbook=14_06.xlsx&amp;sheet=U0&amp;row=3725&amp;col=7&amp;number=6.32e-05&amp;sourceID=14","6.32e-05")</f>
        <v>6.32e-05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HYPERLINK("http://141.218.60.56/~jnz1568/getInfo.php?workbook=14_06.xlsx&amp;sheet=U0&amp;row=3726&amp;col=6&amp;number=3.2&amp;sourceID=14","3.2")</f>
        <v>3.2</v>
      </c>
      <c r="G3726" s="4" t="str">
        <f>HYPERLINK("http://141.218.60.56/~jnz1568/getInfo.php?workbook=14_06.xlsx&amp;sheet=U0&amp;row=3726&amp;col=7&amp;number=6.32e-05&amp;sourceID=14","6.32e-05")</f>
        <v>6.32e-05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HYPERLINK("http://141.218.60.56/~jnz1568/getInfo.php?workbook=14_06.xlsx&amp;sheet=U0&amp;row=3727&amp;col=6&amp;number=3.3&amp;sourceID=14","3.3")</f>
        <v>3.3</v>
      </c>
      <c r="G3727" s="4" t="str">
        <f>HYPERLINK("http://141.218.60.56/~jnz1568/getInfo.php?workbook=14_06.xlsx&amp;sheet=U0&amp;row=3727&amp;col=7&amp;number=6.32e-05&amp;sourceID=14","6.32e-05")</f>
        <v>6.32e-05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HYPERLINK("http://141.218.60.56/~jnz1568/getInfo.php?workbook=14_06.xlsx&amp;sheet=U0&amp;row=3728&amp;col=6&amp;number=3.4&amp;sourceID=14","3.4")</f>
        <v>3.4</v>
      </c>
      <c r="G3728" s="4" t="str">
        <f>HYPERLINK("http://141.218.60.56/~jnz1568/getInfo.php?workbook=14_06.xlsx&amp;sheet=U0&amp;row=3728&amp;col=7&amp;number=6.32e-05&amp;sourceID=14","6.32e-05")</f>
        <v>6.32e-05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HYPERLINK("http://141.218.60.56/~jnz1568/getInfo.php?workbook=14_06.xlsx&amp;sheet=U0&amp;row=3729&amp;col=6&amp;number=3.5&amp;sourceID=14","3.5")</f>
        <v>3.5</v>
      </c>
      <c r="G3729" s="4" t="str">
        <f>HYPERLINK("http://141.218.60.56/~jnz1568/getInfo.php?workbook=14_06.xlsx&amp;sheet=U0&amp;row=3729&amp;col=7&amp;number=6.32e-05&amp;sourceID=14","6.32e-05")</f>
        <v>6.32e-05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HYPERLINK("http://141.218.60.56/~jnz1568/getInfo.php?workbook=14_06.xlsx&amp;sheet=U0&amp;row=3730&amp;col=6&amp;number=3.6&amp;sourceID=14","3.6")</f>
        <v>3.6</v>
      </c>
      <c r="G3730" s="4" t="str">
        <f>HYPERLINK("http://141.218.60.56/~jnz1568/getInfo.php?workbook=14_06.xlsx&amp;sheet=U0&amp;row=3730&amp;col=7&amp;number=6.32e-05&amp;sourceID=14","6.32e-05")</f>
        <v>6.32e-05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HYPERLINK("http://141.218.60.56/~jnz1568/getInfo.php?workbook=14_06.xlsx&amp;sheet=U0&amp;row=3731&amp;col=6&amp;number=3.7&amp;sourceID=14","3.7")</f>
        <v>3.7</v>
      </c>
      <c r="G3731" s="4" t="str">
        <f>HYPERLINK("http://141.218.60.56/~jnz1568/getInfo.php?workbook=14_06.xlsx&amp;sheet=U0&amp;row=3731&amp;col=7&amp;number=6.32e-05&amp;sourceID=14","6.32e-05")</f>
        <v>6.32e-05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HYPERLINK("http://141.218.60.56/~jnz1568/getInfo.php?workbook=14_06.xlsx&amp;sheet=U0&amp;row=3732&amp;col=6&amp;number=3.8&amp;sourceID=14","3.8")</f>
        <v>3.8</v>
      </c>
      <c r="G3732" s="4" t="str">
        <f>HYPERLINK("http://141.218.60.56/~jnz1568/getInfo.php?workbook=14_06.xlsx&amp;sheet=U0&amp;row=3732&amp;col=7&amp;number=6.31e-05&amp;sourceID=14","6.31e-05")</f>
        <v>6.31e-05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HYPERLINK("http://141.218.60.56/~jnz1568/getInfo.php?workbook=14_06.xlsx&amp;sheet=U0&amp;row=3733&amp;col=6&amp;number=3.9&amp;sourceID=14","3.9")</f>
        <v>3.9</v>
      </c>
      <c r="G3733" s="4" t="str">
        <f>HYPERLINK("http://141.218.60.56/~jnz1568/getInfo.php?workbook=14_06.xlsx&amp;sheet=U0&amp;row=3733&amp;col=7&amp;number=6.31e-05&amp;sourceID=14","6.31e-05")</f>
        <v>6.31e-05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HYPERLINK("http://141.218.60.56/~jnz1568/getInfo.php?workbook=14_06.xlsx&amp;sheet=U0&amp;row=3734&amp;col=6&amp;number=4&amp;sourceID=14","4")</f>
        <v>4</v>
      </c>
      <c r="G3734" s="4" t="str">
        <f>HYPERLINK("http://141.218.60.56/~jnz1568/getInfo.php?workbook=14_06.xlsx&amp;sheet=U0&amp;row=3734&amp;col=7&amp;number=6.31e-05&amp;sourceID=14","6.31e-05")</f>
        <v>6.31e-05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HYPERLINK("http://141.218.60.56/~jnz1568/getInfo.php?workbook=14_06.xlsx&amp;sheet=U0&amp;row=3735&amp;col=6&amp;number=4.1&amp;sourceID=14","4.1")</f>
        <v>4.1</v>
      </c>
      <c r="G3735" s="4" t="str">
        <f>HYPERLINK("http://141.218.60.56/~jnz1568/getInfo.php?workbook=14_06.xlsx&amp;sheet=U0&amp;row=3735&amp;col=7&amp;number=6.3e-05&amp;sourceID=14","6.3e-05")</f>
        <v>6.3e-05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HYPERLINK("http://141.218.60.56/~jnz1568/getInfo.php?workbook=14_06.xlsx&amp;sheet=U0&amp;row=3736&amp;col=6&amp;number=4.2&amp;sourceID=14","4.2")</f>
        <v>4.2</v>
      </c>
      <c r="G3736" s="4" t="str">
        <f>HYPERLINK("http://141.218.60.56/~jnz1568/getInfo.php?workbook=14_06.xlsx&amp;sheet=U0&amp;row=3736&amp;col=7&amp;number=6.3e-05&amp;sourceID=14","6.3e-05")</f>
        <v>6.3e-05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HYPERLINK("http://141.218.60.56/~jnz1568/getInfo.php?workbook=14_06.xlsx&amp;sheet=U0&amp;row=3737&amp;col=6&amp;number=4.3&amp;sourceID=14","4.3")</f>
        <v>4.3</v>
      </c>
      <c r="G3737" s="4" t="str">
        <f>HYPERLINK("http://141.218.60.56/~jnz1568/getInfo.php?workbook=14_06.xlsx&amp;sheet=U0&amp;row=3737&amp;col=7&amp;number=6.29e-05&amp;sourceID=14","6.29e-05")</f>
        <v>6.29e-05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HYPERLINK("http://141.218.60.56/~jnz1568/getInfo.php?workbook=14_06.xlsx&amp;sheet=U0&amp;row=3738&amp;col=6&amp;number=4.4&amp;sourceID=14","4.4")</f>
        <v>4.4</v>
      </c>
      <c r="G3738" s="4" t="str">
        <f>HYPERLINK("http://141.218.60.56/~jnz1568/getInfo.php?workbook=14_06.xlsx&amp;sheet=U0&amp;row=3738&amp;col=7&amp;number=6.28e-05&amp;sourceID=14","6.28e-05")</f>
        <v>6.28e-05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HYPERLINK("http://141.218.60.56/~jnz1568/getInfo.php?workbook=14_06.xlsx&amp;sheet=U0&amp;row=3739&amp;col=6&amp;number=4.5&amp;sourceID=14","4.5")</f>
        <v>4.5</v>
      </c>
      <c r="G3739" s="4" t="str">
        <f>HYPERLINK("http://141.218.60.56/~jnz1568/getInfo.php?workbook=14_06.xlsx&amp;sheet=U0&amp;row=3739&amp;col=7&amp;number=6.27e-05&amp;sourceID=14","6.27e-05")</f>
        <v>6.27e-05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HYPERLINK("http://141.218.60.56/~jnz1568/getInfo.php?workbook=14_06.xlsx&amp;sheet=U0&amp;row=3740&amp;col=6&amp;number=4.6&amp;sourceID=14","4.6")</f>
        <v>4.6</v>
      </c>
      <c r="G3740" s="4" t="str">
        <f>HYPERLINK("http://141.218.60.56/~jnz1568/getInfo.php?workbook=14_06.xlsx&amp;sheet=U0&amp;row=3740&amp;col=7&amp;number=6.26e-05&amp;sourceID=14","6.26e-05")</f>
        <v>6.26e-05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HYPERLINK("http://141.218.60.56/~jnz1568/getInfo.php?workbook=14_06.xlsx&amp;sheet=U0&amp;row=3741&amp;col=6&amp;number=4.7&amp;sourceID=14","4.7")</f>
        <v>4.7</v>
      </c>
      <c r="G3741" s="4" t="str">
        <f>HYPERLINK("http://141.218.60.56/~jnz1568/getInfo.php?workbook=14_06.xlsx&amp;sheet=U0&amp;row=3741&amp;col=7&amp;number=6.25e-05&amp;sourceID=14","6.25e-05")</f>
        <v>6.25e-05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HYPERLINK("http://141.218.60.56/~jnz1568/getInfo.php?workbook=14_06.xlsx&amp;sheet=U0&amp;row=3742&amp;col=6&amp;number=4.8&amp;sourceID=14","4.8")</f>
        <v>4.8</v>
      </c>
      <c r="G3742" s="4" t="str">
        <f>HYPERLINK("http://141.218.60.56/~jnz1568/getInfo.php?workbook=14_06.xlsx&amp;sheet=U0&amp;row=3742&amp;col=7&amp;number=6.23e-05&amp;sourceID=14","6.23e-05")</f>
        <v>6.23e-05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HYPERLINK("http://141.218.60.56/~jnz1568/getInfo.php?workbook=14_06.xlsx&amp;sheet=U0&amp;row=3743&amp;col=6&amp;number=4.9&amp;sourceID=14","4.9")</f>
        <v>4.9</v>
      </c>
      <c r="G3743" s="4" t="str">
        <f>HYPERLINK("http://141.218.60.56/~jnz1568/getInfo.php?workbook=14_06.xlsx&amp;sheet=U0&amp;row=3743&amp;col=7&amp;number=6.2e-05&amp;sourceID=14","6.2e-05")</f>
        <v>6.2e-05</v>
      </c>
    </row>
    <row r="3744" spans="1:7">
      <c r="A3744" s="3">
        <v>14</v>
      </c>
      <c r="B3744" s="3">
        <v>6</v>
      </c>
      <c r="C3744" s="3">
        <v>5</v>
      </c>
      <c r="D3744" s="3">
        <v>19</v>
      </c>
      <c r="E3744" s="3">
        <v>1</v>
      </c>
      <c r="F3744" s="4" t="str">
        <f>HYPERLINK("http://141.218.60.56/~jnz1568/getInfo.php?workbook=14_06.xlsx&amp;sheet=U0&amp;row=3744&amp;col=6&amp;number=3&amp;sourceID=14","3")</f>
        <v>3</v>
      </c>
      <c r="G3744" s="4" t="str">
        <f>HYPERLINK("http://141.218.60.56/~jnz1568/getInfo.php?workbook=14_06.xlsx&amp;sheet=U0&amp;row=3744&amp;col=7&amp;number=0.00073&amp;sourceID=14","0.00073")</f>
        <v>0.00073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HYPERLINK("http://141.218.60.56/~jnz1568/getInfo.php?workbook=14_06.xlsx&amp;sheet=U0&amp;row=3745&amp;col=6&amp;number=3.1&amp;sourceID=14","3.1")</f>
        <v>3.1</v>
      </c>
      <c r="G3745" s="4" t="str">
        <f>HYPERLINK("http://141.218.60.56/~jnz1568/getInfo.php?workbook=14_06.xlsx&amp;sheet=U0&amp;row=3745&amp;col=7&amp;number=0.00073&amp;sourceID=14","0.00073")</f>
        <v>0.00073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HYPERLINK("http://141.218.60.56/~jnz1568/getInfo.php?workbook=14_06.xlsx&amp;sheet=U0&amp;row=3746&amp;col=6&amp;number=3.2&amp;sourceID=14","3.2")</f>
        <v>3.2</v>
      </c>
      <c r="G3746" s="4" t="str">
        <f>HYPERLINK("http://141.218.60.56/~jnz1568/getInfo.php?workbook=14_06.xlsx&amp;sheet=U0&amp;row=3746&amp;col=7&amp;number=0.00073&amp;sourceID=14","0.00073")</f>
        <v>0.00073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HYPERLINK("http://141.218.60.56/~jnz1568/getInfo.php?workbook=14_06.xlsx&amp;sheet=U0&amp;row=3747&amp;col=6&amp;number=3.3&amp;sourceID=14","3.3")</f>
        <v>3.3</v>
      </c>
      <c r="G3747" s="4" t="str">
        <f>HYPERLINK("http://141.218.60.56/~jnz1568/getInfo.php?workbook=14_06.xlsx&amp;sheet=U0&amp;row=3747&amp;col=7&amp;number=0.00073&amp;sourceID=14","0.00073")</f>
        <v>0.00073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HYPERLINK("http://141.218.60.56/~jnz1568/getInfo.php?workbook=14_06.xlsx&amp;sheet=U0&amp;row=3748&amp;col=6&amp;number=3.4&amp;sourceID=14","3.4")</f>
        <v>3.4</v>
      </c>
      <c r="G3748" s="4" t="str">
        <f>HYPERLINK("http://141.218.60.56/~jnz1568/getInfo.php?workbook=14_06.xlsx&amp;sheet=U0&amp;row=3748&amp;col=7&amp;number=0.000731&amp;sourceID=14","0.000731")</f>
        <v>0.000731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HYPERLINK("http://141.218.60.56/~jnz1568/getInfo.php?workbook=14_06.xlsx&amp;sheet=U0&amp;row=3749&amp;col=6&amp;number=3.5&amp;sourceID=14","3.5")</f>
        <v>3.5</v>
      </c>
      <c r="G3749" s="4" t="str">
        <f>HYPERLINK("http://141.218.60.56/~jnz1568/getInfo.php?workbook=14_06.xlsx&amp;sheet=U0&amp;row=3749&amp;col=7&amp;number=0.000731&amp;sourceID=14","0.000731")</f>
        <v>0.000731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HYPERLINK("http://141.218.60.56/~jnz1568/getInfo.php?workbook=14_06.xlsx&amp;sheet=U0&amp;row=3750&amp;col=6&amp;number=3.6&amp;sourceID=14","3.6")</f>
        <v>3.6</v>
      </c>
      <c r="G3750" s="4" t="str">
        <f>HYPERLINK("http://141.218.60.56/~jnz1568/getInfo.php?workbook=14_06.xlsx&amp;sheet=U0&amp;row=3750&amp;col=7&amp;number=0.000731&amp;sourceID=14","0.000731")</f>
        <v>0.000731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HYPERLINK("http://141.218.60.56/~jnz1568/getInfo.php?workbook=14_06.xlsx&amp;sheet=U0&amp;row=3751&amp;col=6&amp;number=3.7&amp;sourceID=14","3.7")</f>
        <v>3.7</v>
      </c>
      <c r="G3751" s="4" t="str">
        <f>HYPERLINK("http://141.218.60.56/~jnz1568/getInfo.php?workbook=14_06.xlsx&amp;sheet=U0&amp;row=3751&amp;col=7&amp;number=0.000731&amp;sourceID=14","0.000731")</f>
        <v>0.000731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HYPERLINK("http://141.218.60.56/~jnz1568/getInfo.php?workbook=14_06.xlsx&amp;sheet=U0&amp;row=3752&amp;col=6&amp;number=3.8&amp;sourceID=14","3.8")</f>
        <v>3.8</v>
      </c>
      <c r="G3752" s="4" t="str">
        <f>HYPERLINK("http://141.218.60.56/~jnz1568/getInfo.php?workbook=14_06.xlsx&amp;sheet=U0&amp;row=3752&amp;col=7&amp;number=0.000731&amp;sourceID=14","0.000731")</f>
        <v>0.000731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HYPERLINK("http://141.218.60.56/~jnz1568/getInfo.php?workbook=14_06.xlsx&amp;sheet=U0&amp;row=3753&amp;col=6&amp;number=3.9&amp;sourceID=14","3.9")</f>
        <v>3.9</v>
      </c>
      <c r="G3753" s="4" t="str">
        <f>HYPERLINK("http://141.218.60.56/~jnz1568/getInfo.php?workbook=14_06.xlsx&amp;sheet=U0&amp;row=3753&amp;col=7&amp;number=0.000731&amp;sourceID=14","0.000731")</f>
        <v>0.000731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HYPERLINK("http://141.218.60.56/~jnz1568/getInfo.php?workbook=14_06.xlsx&amp;sheet=U0&amp;row=3754&amp;col=6&amp;number=4&amp;sourceID=14","4")</f>
        <v>4</v>
      </c>
      <c r="G3754" s="4" t="str">
        <f>HYPERLINK("http://141.218.60.56/~jnz1568/getInfo.php?workbook=14_06.xlsx&amp;sheet=U0&amp;row=3754&amp;col=7&amp;number=0.000732&amp;sourceID=14","0.000732")</f>
        <v>0.000732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HYPERLINK("http://141.218.60.56/~jnz1568/getInfo.php?workbook=14_06.xlsx&amp;sheet=U0&amp;row=3755&amp;col=6&amp;number=4.1&amp;sourceID=14","4.1")</f>
        <v>4.1</v>
      </c>
      <c r="G3755" s="4" t="str">
        <f>HYPERLINK("http://141.218.60.56/~jnz1568/getInfo.php?workbook=14_06.xlsx&amp;sheet=U0&amp;row=3755&amp;col=7&amp;number=0.000732&amp;sourceID=14","0.000732")</f>
        <v>0.000732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HYPERLINK("http://141.218.60.56/~jnz1568/getInfo.php?workbook=14_06.xlsx&amp;sheet=U0&amp;row=3756&amp;col=6&amp;number=4.2&amp;sourceID=14","4.2")</f>
        <v>4.2</v>
      </c>
      <c r="G3756" s="4" t="str">
        <f>HYPERLINK("http://141.218.60.56/~jnz1568/getInfo.php?workbook=14_06.xlsx&amp;sheet=U0&amp;row=3756&amp;col=7&amp;number=0.000733&amp;sourceID=14","0.000733")</f>
        <v>0.000733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HYPERLINK("http://141.218.60.56/~jnz1568/getInfo.php?workbook=14_06.xlsx&amp;sheet=U0&amp;row=3757&amp;col=6&amp;number=4.3&amp;sourceID=14","4.3")</f>
        <v>4.3</v>
      </c>
      <c r="G3757" s="4" t="str">
        <f>HYPERLINK("http://141.218.60.56/~jnz1568/getInfo.php?workbook=14_06.xlsx&amp;sheet=U0&amp;row=3757&amp;col=7&amp;number=0.000733&amp;sourceID=14","0.000733")</f>
        <v>0.000733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HYPERLINK("http://141.218.60.56/~jnz1568/getInfo.php?workbook=14_06.xlsx&amp;sheet=U0&amp;row=3758&amp;col=6&amp;number=4.4&amp;sourceID=14","4.4")</f>
        <v>4.4</v>
      </c>
      <c r="G3758" s="4" t="str">
        <f>HYPERLINK("http://141.218.60.56/~jnz1568/getInfo.php?workbook=14_06.xlsx&amp;sheet=U0&amp;row=3758&amp;col=7&amp;number=0.000734&amp;sourceID=14","0.000734")</f>
        <v>0.000734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HYPERLINK("http://141.218.60.56/~jnz1568/getInfo.php?workbook=14_06.xlsx&amp;sheet=U0&amp;row=3759&amp;col=6&amp;number=4.5&amp;sourceID=14","4.5")</f>
        <v>4.5</v>
      </c>
      <c r="G3759" s="4" t="str">
        <f>HYPERLINK("http://141.218.60.56/~jnz1568/getInfo.php?workbook=14_06.xlsx&amp;sheet=U0&amp;row=3759&amp;col=7&amp;number=0.000735&amp;sourceID=14","0.000735")</f>
        <v>0.000735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HYPERLINK("http://141.218.60.56/~jnz1568/getInfo.php?workbook=14_06.xlsx&amp;sheet=U0&amp;row=3760&amp;col=6&amp;number=4.6&amp;sourceID=14","4.6")</f>
        <v>4.6</v>
      </c>
      <c r="G3760" s="4" t="str">
        <f>HYPERLINK("http://141.218.60.56/~jnz1568/getInfo.php?workbook=14_06.xlsx&amp;sheet=U0&amp;row=3760&amp;col=7&amp;number=0.000736&amp;sourceID=14","0.000736")</f>
        <v>0.000736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HYPERLINK("http://141.218.60.56/~jnz1568/getInfo.php?workbook=14_06.xlsx&amp;sheet=U0&amp;row=3761&amp;col=6&amp;number=4.7&amp;sourceID=14","4.7")</f>
        <v>4.7</v>
      </c>
      <c r="G3761" s="4" t="str">
        <f>HYPERLINK("http://141.218.60.56/~jnz1568/getInfo.php?workbook=14_06.xlsx&amp;sheet=U0&amp;row=3761&amp;col=7&amp;number=0.000738&amp;sourceID=14","0.000738")</f>
        <v>0.000738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HYPERLINK("http://141.218.60.56/~jnz1568/getInfo.php?workbook=14_06.xlsx&amp;sheet=U0&amp;row=3762&amp;col=6&amp;number=4.8&amp;sourceID=14","4.8")</f>
        <v>4.8</v>
      </c>
      <c r="G3762" s="4" t="str">
        <f>HYPERLINK("http://141.218.60.56/~jnz1568/getInfo.php?workbook=14_06.xlsx&amp;sheet=U0&amp;row=3762&amp;col=7&amp;number=0.00074&amp;sourceID=14","0.00074")</f>
        <v>0.00074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HYPERLINK("http://141.218.60.56/~jnz1568/getInfo.php?workbook=14_06.xlsx&amp;sheet=U0&amp;row=3763&amp;col=6&amp;number=4.9&amp;sourceID=14","4.9")</f>
        <v>4.9</v>
      </c>
      <c r="G3763" s="4" t="str">
        <f>HYPERLINK("http://141.218.60.56/~jnz1568/getInfo.php?workbook=14_06.xlsx&amp;sheet=U0&amp;row=3763&amp;col=7&amp;number=0.000743&amp;sourceID=14","0.000743")</f>
        <v>0.000743</v>
      </c>
    </row>
    <row r="3764" spans="1:7">
      <c r="A3764" s="3">
        <v>14</v>
      </c>
      <c r="B3764" s="3">
        <v>6</v>
      </c>
      <c r="C3764" s="3">
        <v>5</v>
      </c>
      <c r="D3764" s="3">
        <v>20</v>
      </c>
      <c r="E3764" s="3">
        <v>1</v>
      </c>
      <c r="F3764" s="4" t="str">
        <f>HYPERLINK("http://141.218.60.56/~jnz1568/getInfo.php?workbook=14_06.xlsx&amp;sheet=U0&amp;row=3764&amp;col=6&amp;number=3&amp;sourceID=14","3")</f>
        <v>3</v>
      </c>
      <c r="G3764" s="4" t="str">
        <f>HYPERLINK("http://141.218.60.56/~jnz1568/getInfo.php?workbook=14_06.xlsx&amp;sheet=U0&amp;row=3764&amp;col=7&amp;number=0.000959&amp;sourceID=14","0.000959")</f>
        <v>0.000959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HYPERLINK("http://141.218.60.56/~jnz1568/getInfo.php?workbook=14_06.xlsx&amp;sheet=U0&amp;row=3765&amp;col=6&amp;number=3.1&amp;sourceID=14","3.1")</f>
        <v>3.1</v>
      </c>
      <c r="G3765" s="4" t="str">
        <f>HYPERLINK("http://141.218.60.56/~jnz1568/getInfo.php?workbook=14_06.xlsx&amp;sheet=U0&amp;row=3765&amp;col=7&amp;number=0.000959&amp;sourceID=14","0.000959")</f>
        <v>0.000959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HYPERLINK("http://141.218.60.56/~jnz1568/getInfo.php?workbook=14_06.xlsx&amp;sheet=U0&amp;row=3766&amp;col=6&amp;number=3.2&amp;sourceID=14","3.2")</f>
        <v>3.2</v>
      </c>
      <c r="G3766" s="4" t="str">
        <f>HYPERLINK("http://141.218.60.56/~jnz1568/getInfo.php?workbook=14_06.xlsx&amp;sheet=U0&amp;row=3766&amp;col=7&amp;number=0.000959&amp;sourceID=14","0.000959")</f>
        <v>0.000959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HYPERLINK("http://141.218.60.56/~jnz1568/getInfo.php?workbook=14_06.xlsx&amp;sheet=U0&amp;row=3767&amp;col=6&amp;number=3.3&amp;sourceID=14","3.3")</f>
        <v>3.3</v>
      </c>
      <c r="G3767" s="4" t="str">
        <f>HYPERLINK("http://141.218.60.56/~jnz1568/getInfo.php?workbook=14_06.xlsx&amp;sheet=U0&amp;row=3767&amp;col=7&amp;number=0.000959&amp;sourceID=14","0.000959")</f>
        <v>0.000959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HYPERLINK("http://141.218.60.56/~jnz1568/getInfo.php?workbook=14_06.xlsx&amp;sheet=U0&amp;row=3768&amp;col=6&amp;number=3.4&amp;sourceID=14","3.4")</f>
        <v>3.4</v>
      </c>
      <c r="G3768" s="4" t="str">
        <f>HYPERLINK("http://141.218.60.56/~jnz1568/getInfo.php?workbook=14_06.xlsx&amp;sheet=U0&amp;row=3768&amp;col=7&amp;number=0.000959&amp;sourceID=14","0.000959")</f>
        <v>0.000959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HYPERLINK("http://141.218.60.56/~jnz1568/getInfo.php?workbook=14_06.xlsx&amp;sheet=U0&amp;row=3769&amp;col=6&amp;number=3.5&amp;sourceID=14","3.5")</f>
        <v>3.5</v>
      </c>
      <c r="G3769" s="4" t="str">
        <f>HYPERLINK("http://141.218.60.56/~jnz1568/getInfo.php?workbook=14_06.xlsx&amp;sheet=U0&amp;row=3769&amp;col=7&amp;number=0.000959&amp;sourceID=14","0.000959")</f>
        <v>0.000959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HYPERLINK("http://141.218.60.56/~jnz1568/getInfo.php?workbook=14_06.xlsx&amp;sheet=U0&amp;row=3770&amp;col=6&amp;number=3.6&amp;sourceID=14","3.6")</f>
        <v>3.6</v>
      </c>
      <c r="G3770" s="4" t="str">
        <f>HYPERLINK("http://141.218.60.56/~jnz1568/getInfo.php?workbook=14_06.xlsx&amp;sheet=U0&amp;row=3770&amp;col=7&amp;number=0.000959&amp;sourceID=14","0.000959")</f>
        <v>0.000959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HYPERLINK("http://141.218.60.56/~jnz1568/getInfo.php?workbook=14_06.xlsx&amp;sheet=U0&amp;row=3771&amp;col=6&amp;number=3.7&amp;sourceID=14","3.7")</f>
        <v>3.7</v>
      </c>
      <c r="G3771" s="4" t="str">
        <f>HYPERLINK("http://141.218.60.56/~jnz1568/getInfo.php?workbook=14_06.xlsx&amp;sheet=U0&amp;row=3771&amp;col=7&amp;number=0.000959&amp;sourceID=14","0.000959")</f>
        <v>0.000959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HYPERLINK("http://141.218.60.56/~jnz1568/getInfo.php?workbook=14_06.xlsx&amp;sheet=U0&amp;row=3772&amp;col=6&amp;number=3.8&amp;sourceID=14","3.8")</f>
        <v>3.8</v>
      </c>
      <c r="G3772" s="4" t="str">
        <f>HYPERLINK("http://141.218.60.56/~jnz1568/getInfo.php?workbook=14_06.xlsx&amp;sheet=U0&amp;row=3772&amp;col=7&amp;number=0.000959&amp;sourceID=14","0.000959")</f>
        <v>0.000959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HYPERLINK("http://141.218.60.56/~jnz1568/getInfo.php?workbook=14_06.xlsx&amp;sheet=U0&amp;row=3773&amp;col=6&amp;number=3.9&amp;sourceID=14","3.9")</f>
        <v>3.9</v>
      </c>
      <c r="G3773" s="4" t="str">
        <f>HYPERLINK("http://141.218.60.56/~jnz1568/getInfo.php?workbook=14_06.xlsx&amp;sheet=U0&amp;row=3773&amp;col=7&amp;number=0.000959&amp;sourceID=14","0.000959")</f>
        <v>0.000959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HYPERLINK("http://141.218.60.56/~jnz1568/getInfo.php?workbook=14_06.xlsx&amp;sheet=U0&amp;row=3774&amp;col=6&amp;number=4&amp;sourceID=14","4")</f>
        <v>4</v>
      </c>
      <c r="G3774" s="4" t="str">
        <f>HYPERLINK("http://141.218.60.56/~jnz1568/getInfo.php?workbook=14_06.xlsx&amp;sheet=U0&amp;row=3774&amp;col=7&amp;number=0.000959&amp;sourceID=14","0.000959")</f>
        <v>0.000959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HYPERLINK("http://141.218.60.56/~jnz1568/getInfo.php?workbook=14_06.xlsx&amp;sheet=U0&amp;row=3775&amp;col=6&amp;number=4.1&amp;sourceID=14","4.1")</f>
        <v>4.1</v>
      </c>
      <c r="G3775" s="4" t="str">
        <f>HYPERLINK("http://141.218.60.56/~jnz1568/getInfo.php?workbook=14_06.xlsx&amp;sheet=U0&amp;row=3775&amp;col=7&amp;number=0.000959&amp;sourceID=14","0.000959")</f>
        <v>0.000959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HYPERLINK("http://141.218.60.56/~jnz1568/getInfo.php?workbook=14_06.xlsx&amp;sheet=U0&amp;row=3776&amp;col=6&amp;number=4.2&amp;sourceID=14","4.2")</f>
        <v>4.2</v>
      </c>
      <c r="G3776" s="4" t="str">
        <f>HYPERLINK("http://141.218.60.56/~jnz1568/getInfo.php?workbook=14_06.xlsx&amp;sheet=U0&amp;row=3776&amp;col=7&amp;number=0.000959&amp;sourceID=14","0.000959")</f>
        <v>0.000959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HYPERLINK("http://141.218.60.56/~jnz1568/getInfo.php?workbook=14_06.xlsx&amp;sheet=U0&amp;row=3777&amp;col=6&amp;number=4.3&amp;sourceID=14","4.3")</f>
        <v>4.3</v>
      </c>
      <c r="G3777" s="4" t="str">
        <f>HYPERLINK("http://141.218.60.56/~jnz1568/getInfo.php?workbook=14_06.xlsx&amp;sheet=U0&amp;row=3777&amp;col=7&amp;number=0.000959&amp;sourceID=14","0.000959")</f>
        <v>0.000959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HYPERLINK("http://141.218.60.56/~jnz1568/getInfo.php?workbook=14_06.xlsx&amp;sheet=U0&amp;row=3778&amp;col=6&amp;number=4.4&amp;sourceID=14","4.4")</f>
        <v>4.4</v>
      </c>
      <c r="G3778" s="4" t="str">
        <f>HYPERLINK("http://141.218.60.56/~jnz1568/getInfo.php?workbook=14_06.xlsx&amp;sheet=U0&amp;row=3778&amp;col=7&amp;number=0.000959&amp;sourceID=14","0.000959")</f>
        <v>0.000959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HYPERLINK("http://141.218.60.56/~jnz1568/getInfo.php?workbook=14_06.xlsx&amp;sheet=U0&amp;row=3779&amp;col=6&amp;number=4.5&amp;sourceID=14","4.5")</f>
        <v>4.5</v>
      </c>
      <c r="G3779" s="4" t="str">
        <f>HYPERLINK("http://141.218.60.56/~jnz1568/getInfo.php?workbook=14_06.xlsx&amp;sheet=U0&amp;row=3779&amp;col=7&amp;number=0.000959&amp;sourceID=14","0.000959")</f>
        <v>0.000959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HYPERLINK("http://141.218.60.56/~jnz1568/getInfo.php?workbook=14_06.xlsx&amp;sheet=U0&amp;row=3780&amp;col=6&amp;number=4.6&amp;sourceID=14","4.6")</f>
        <v>4.6</v>
      </c>
      <c r="G3780" s="4" t="str">
        <f>HYPERLINK("http://141.218.60.56/~jnz1568/getInfo.php?workbook=14_06.xlsx&amp;sheet=U0&amp;row=3780&amp;col=7&amp;number=0.000959&amp;sourceID=14","0.000959")</f>
        <v>0.000959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HYPERLINK("http://141.218.60.56/~jnz1568/getInfo.php?workbook=14_06.xlsx&amp;sheet=U0&amp;row=3781&amp;col=6&amp;number=4.7&amp;sourceID=14","4.7")</f>
        <v>4.7</v>
      </c>
      <c r="G3781" s="4" t="str">
        <f>HYPERLINK("http://141.218.60.56/~jnz1568/getInfo.php?workbook=14_06.xlsx&amp;sheet=U0&amp;row=3781&amp;col=7&amp;number=0.000958&amp;sourceID=14","0.000958")</f>
        <v>0.000958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HYPERLINK("http://141.218.60.56/~jnz1568/getInfo.php?workbook=14_06.xlsx&amp;sheet=U0&amp;row=3782&amp;col=6&amp;number=4.8&amp;sourceID=14","4.8")</f>
        <v>4.8</v>
      </c>
      <c r="G3782" s="4" t="str">
        <f>HYPERLINK("http://141.218.60.56/~jnz1568/getInfo.php?workbook=14_06.xlsx&amp;sheet=U0&amp;row=3782&amp;col=7&amp;number=0.000958&amp;sourceID=14","0.000958")</f>
        <v>0.000958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HYPERLINK("http://141.218.60.56/~jnz1568/getInfo.php?workbook=14_06.xlsx&amp;sheet=U0&amp;row=3783&amp;col=6&amp;number=4.9&amp;sourceID=14","4.9")</f>
        <v>4.9</v>
      </c>
      <c r="G3783" s="4" t="str">
        <f>HYPERLINK("http://141.218.60.56/~jnz1568/getInfo.php?workbook=14_06.xlsx&amp;sheet=U0&amp;row=3783&amp;col=7&amp;number=0.000958&amp;sourceID=14","0.000958")</f>
        <v>0.000958</v>
      </c>
    </row>
    <row r="3784" spans="1:7">
      <c r="A3784" s="3">
        <v>14</v>
      </c>
      <c r="B3784" s="3">
        <v>6</v>
      </c>
      <c r="C3784" s="3">
        <v>5</v>
      </c>
      <c r="D3784" s="3">
        <v>21</v>
      </c>
      <c r="E3784" s="3">
        <v>1</v>
      </c>
      <c r="F3784" s="4" t="str">
        <f>HYPERLINK("http://141.218.60.56/~jnz1568/getInfo.php?workbook=14_06.xlsx&amp;sheet=U0&amp;row=3784&amp;col=6&amp;number=3&amp;sourceID=14","3")</f>
        <v>3</v>
      </c>
      <c r="G3784" s="4" t="str">
        <f>HYPERLINK("http://141.218.60.56/~jnz1568/getInfo.php?workbook=14_06.xlsx&amp;sheet=U0&amp;row=3784&amp;col=7&amp;number=0.000428&amp;sourceID=14","0.000428")</f>
        <v>0.000428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HYPERLINK("http://141.218.60.56/~jnz1568/getInfo.php?workbook=14_06.xlsx&amp;sheet=U0&amp;row=3785&amp;col=6&amp;number=3.1&amp;sourceID=14","3.1")</f>
        <v>3.1</v>
      </c>
      <c r="G3785" s="4" t="str">
        <f>HYPERLINK("http://141.218.60.56/~jnz1568/getInfo.php?workbook=14_06.xlsx&amp;sheet=U0&amp;row=3785&amp;col=7&amp;number=0.000428&amp;sourceID=14","0.000428")</f>
        <v>0.000428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HYPERLINK("http://141.218.60.56/~jnz1568/getInfo.php?workbook=14_06.xlsx&amp;sheet=U0&amp;row=3786&amp;col=6&amp;number=3.2&amp;sourceID=14","3.2")</f>
        <v>3.2</v>
      </c>
      <c r="G3786" s="4" t="str">
        <f>HYPERLINK("http://141.218.60.56/~jnz1568/getInfo.php?workbook=14_06.xlsx&amp;sheet=U0&amp;row=3786&amp;col=7&amp;number=0.000428&amp;sourceID=14","0.000428")</f>
        <v>0.000428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HYPERLINK("http://141.218.60.56/~jnz1568/getInfo.php?workbook=14_06.xlsx&amp;sheet=U0&amp;row=3787&amp;col=6&amp;number=3.3&amp;sourceID=14","3.3")</f>
        <v>3.3</v>
      </c>
      <c r="G3787" s="4" t="str">
        <f>HYPERLINK("http://141.218.60.56/~jnz1568/getInfo.php?workbook=14_06.xlsx&amp;sheet=U0&amp;row=3787&amp;col=7&amp;number=0.000428&amp;sourceID=14","0.000428")</f>
        <v>0.000428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HYPERLINK("http://141.218.60.56/~jnz1568/getInfo.php?workbook=14_06.xlsx&amp;sheet=U0&amp;row=3788&amp;col=6&amp;number=3.4&amp;sourceID=14","3.4")</f>
        <v>3.4</v>
      </c>
      <c r="G3788" s="4" t="str">
        <f>HYPERLINK("http://141.218.60.56/~jnz1568/getInfo.php?workbook=14_06.xlsx&amp;sheet=U0&amp;row=3788&amp;col=7&amp;number=0.000427&amp;sourceID=14","0.000427")</f>
        <v>0.000427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HYPERLINK("http://141.218.60.56/~jnz1568/getInfo.php?workbook=14_06.xlsx&amp;sheet=U0&amp;row=3789&amp;col=6&amp;number=3.5&amp;sourceID=14","3.5")</f>
        <v>3.5</v>
      </c>
      <c r="G3789" s="4" t="str">
        <f>HYPERLINK("http://141.218.60.56/~jnz1568/getInfo.php?workbook=14_06.xlsx&amp;sheet=U0&amp;row=3789&amp;col=7&amp;number=0.000427&amp;sourceID=14","0.000427")</f>
        <v>0.000427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HYPERLINK("http://141.218.60.56/~jnz1568/getInfo.php?workbook=14_06.xlsx&amp;sheet=U0&amp;row=3790&amp;col=6&amp;number=3.6&amp;sourceID=14","3.6")</f>
        <v>3.6</v>
      </c>
      <c r="G3790" s="4" t="str">
        <f>HYPERLINK("http://141.218.60.56/~jnz1568/getInfo.php?workbook=14_06.xlsx&amp;sheet=U0&amp;row=3790&amp;col=7&amp;number=0.000427&amp;sourceID=14","0.000427")</f>
        <v>0.000427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HYPERLINK("http://141.218.60.56/~jnz1568/getInfo.php?workbook=14_06.xlsx&amp;sheet=U0&amp;row=3791&amp;col=6&amp;number=3.7&amp;sourceID=14","3.7")</f>
        <v>3.7</v>
      </c>
      <c r="G3791" s="4" t="str">
        <f>HYPERLINK("http://141.218.60.56/~jnz1568/getInfo.php?workbook=14_06.xlsx&amp;sheet=U0&amp;row=3791&amp;col=7&amp;number=0.000427&amp;sourceID=14","0.000427")</f>
        <v>0.000427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HYPERLINK("http://141.218.60.56/~jnz1568/getInfo.php?workbook=14_06.xlsx&amp;sheet=U0&amp;row=3792&amp;col=6&amp;number=3.8&amp;sourceID=14","3.8")</f>
        <v>3.8</v>
      </c>
      <c r="G3792" s="4" t="str">
        <f>HYPERLINK("http://141.218.60.56/~jnz1568/getInfo.php?workbook=14_06.xlsx&amp;sheet=U0&amp;row=3792&amp;col=7&amp;number=0.000427&amp;sourceID=14","0.000427")</f>
        <v>0.000427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HYPERLINK("http://141.218.60.56/~jnz1568/getInfo.php?workbook=14_06.xlsx&amp;sheet=U0&amp;row=3793&amp;col=6&amp;number=3.9&amp;sourceID=14","3.9")</f>
        <v>3.9</v>
      </c>
      <c r="G3793" s="4" t="str">
        <f>HYPERLINK("http://141.218.60.56/~jnz1568/getInfo.php?workbook=14_06.xlsx&amp;sheet=U0&amp;row=3793&amp;col=7&amp;number=0.000427&amp;sourceID=14","0.000427")</f>
        <v>0.000427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HYPERLINK("http://141.218.60.56/~jnz1568/getInfo.php?workbook=14_06.xlsx&amp;sheet=U0&amp;row=3794&amp;col=6&amp;number=4&amp;sourceID=14","4")</f>
        <v>4</v>
      </c>
      <c r="G3794" s="4" t="str">
        <f>HYPERLINK("http://141.218.60.56/~jnz1568/getInfo.php?workbook=14_06.xlsx&amp;sheet=U0&amp;row=3794&amp;col=7&amp;number=0.000427&amp;sourceID=14","0.000427")</f>
        <v>0.000427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HYPERLINK("http://141.218.60.56/~jnz1568/getInfo.php?workbook=14_06.xlsx&amp;sheet=U0&amp;row=3795&amp;col=6&amp;number=4.1&amp;sourceID=14","4.1")</f>
        <v>4.1</v>
      </c>
      <c r="G3795" s="4" t="str">
        <f>HYPERLINK("http://141.218.60.56/~jnz1568/getInfo.php?workbook=14_06.xlsx&amp;sheet=U0&amp;row=3795&amp;col=7&amp;number=0.000426&amp;sourceID=14","0.000426")</f>
        <v>0.000426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HYPERLINK("http://141.218.60.56/~jnz1568/getInfo.php?workbook=14_06.xlsx&amp;sheet=U0&amp;row=3796&amp;col=6&amp;number=4.2&amp;sourceID=14","4.2")</f>
        <v>4.2</v>
      </c>
      <c r="G3796" s="4" t="str">
        <f>HYPERLINK("http://141.218.60.56/~jnz1568/getInfo.php?workbook=14_06.xlsx&amp;sheet=U0&amp;row=3796&amp;col=7&amp;number=0.000426&amp;sourceID=14","0.000426")</f>
        <v>0.000426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HYPERLINK("http://141.218.60.56/~jnz1568/getInfo.php?workbook=14_06.xlsx&amp;sheet=U0&amp;row=3797&amp;col=6&amp;number=4.3&amp;sourceID=14","4.3")</f>
        <v>4.3</v>
      </c>
      <c r="G3797" s="4" t="str">
        <f>HYPERLINK("http://141.218.60.56/~jnz1568/getInfo.php?workbook=14_06.xlsx&amp;sheet=U0&amp;row=3797&amp;col=7&amp;number=0.000425&amp;sourceID=14","0.000425")</f>
        <v>0.000425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HYPERLINK("http://141.218.60.56/~jnz1568/getInfo.php?workbook=14_06.xlsx&amp;sheet=U0&amp;row=3798&amp;col=6&amp;number=4.4&amp;sourceID=14","4.4")</f>
        <v>4.4</v>
      </c>
      <c r="G3798" s="4" t="str">
        <f>HYPERLINK("http://141.218.60.56/~jnz1568/getInfo.php?workbook=14_06.xlsx&amp;sheet=U0&amp;row=3798&amp;col=7&amp;number=0.000425&amp;sourceID=14","0.000425")</f>
        <v>0.000425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HYPERLINK("http://141.218.60.56/~jnz1568/getInfo.php?workbook=14_06.xlsx&amp;sheet=U0&amp;row=3799&amp;col=6&amp;number=4.5&amp;sourceID=14","4.5")</f>
        <v>4.5</v>
      </c>
      <c r="G3799" s="4" t="str">
        <f>HYPERLINK("http://141.218.60.56/~jnz1568/getInfo.php?workbook=14_06.xlsx&amp;sheet=U0&amp;row=3799&amp;col=7&amp;number=0.000424&amp;sourceID=14","0.000424")</f>
        <v>0.000424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HYPERLINK("http://141.218.60.56/~jnz1568/getInfo.php?workbook=14_06.xlsx&amp;sheet=U0&amp;row=3800&amp;col=6&amp;number=4.6&amp;sourceID=14","4.6")</f>
        <v>4.6</v>
      </c>
      <c r="G3800" s="4" t="str">
        <f>HYPERLINK("http://141.218.60.56/~jnz1568/getInfo.php?workbook=14_06.xlsx&amp;sheet=U0&amp;row=3800&amp;col=7&amp;number=0.000423&amp;sourceID=14","0.000423")</f>
        <v>0.000423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HYPERLINK("http://141.218.60.56/~jnz1568/getInfo.php?workbook=14_06.xlsx&amp;sheet=U0&amp;row=3801&amp;col=6&amp;number=4.7&amp;sourceID=14","4.7")</f>
        <v>4.7</v>
      </c>
      <c r="G3801" s="4" t="str">
        <f>HYPERLINK("http://141.218.60.56/~jnz1568/getInfo.php?workbook=14_06.xlsx&amp;sheet=U0&amp;row=3801&amp;col=7&amp;number=0.000421&amp;sourceID=14","0.000421")</f>
        <v>0.000421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HYPERLINK("http://141.218.60.56/~jnz1568/getInfo.php?workbook=14_06.xlsx&amp;sheet=U0&amp;row=3802&amp;col=6&amp;number=4.8&amp;sourceID=14","4.8")</f>
        <v>4.8</v>
      </c>
      <c r="G3802" s="4" t="str">
        <f>HYPERLINK("http://141.218.60.56/~jnz1568/getInfo.php?workbook=14_06.xlsx&amp;sheet=U0&amp;row=3802&amp;col=7&amp;number=0.00042&amp;sourceID=14","0.00042")</f>
        <v>0.00042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HYPERLINK("http://141.218.60.56/~jnz1568/getInfo.php?workbook=14_06.xlsx&amp;sheet=U0&amp;row=3803&amp;col=6&amp;number=4.9&amp;sourceID=14","4.9")</f>
        <v>4.9</v>
      </c>
      <c r="G3803" s="4" t="str">
        <f>HYPERLINK("http://141.218.60.56/~jnz1568/getInfo.php?workbook=14_06.xlsx&amp;sheet=U0&amp;row=3803&amp;col=7&amp;number=0.000418&amp;sourceID=14","0.000418")</f>
        <v>0.000418</v>
      </c>
    </row>
    <row r="3804" spans="1:7">
      <c r="A3804" s="3">
        <v>14</v>
      </c>
      <c r="B3804" s="3">
        <v>6</v>
      </c>
      <c r="C3804" s="3">
        <v>5</v>
      </c>
      <c r="D3804" s="3">
        <v>22</v>
      </c>
      <c r="E3804" s="3">
        <v>1</v>
      </c>
      <c r="F3804" s="4" t="str">
        <f>HYPERLINK("http://141.218.60.56/~jnz1568/getInfo.php?workbook=14_06.xlsx&amp;sheet=U0&amp;row=3804&amp;col=6&amp;number=3&amp;sourceID=14","3")</f>
        <v>3</v>
      </c>
      <c r="G3804" s="4" t="str">
        <f>HYPERLINK("http://141.218.60.56/~jnz1568/getInfo.php?workbook=14_06.xlsx&amp;sheet=U0&amp;row=3804&amp;col=7&amp;number=0.00135&amp;sourceID=14","0.00135")</f>
        <v>0.00135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HYPERLINK("http://141.218.60.56/~jnz1568/getInfo.php?workbook=14_06.xlsx&amp;sheet=U0&amp;row=3805&amp;col=6&amp;number=3.1&amp;sourceID=14","3.1")</f>
        <v>3.1</v>
      </c>
      <c r="G3805" s="4" t="str">
        <f>HYPERLINK("http://141.218.60.56/~jnz1568/getInfo.php?workbook=14_06.xlsx&amp;sheet=U0&amp;row=3805&amp;col=7&amp;number=0.00135&amp;sourceID=14","0.00135")</f>
        <v>0.00135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HYPERLINK("http://141.218.60.56/~jnz1568/getInfo.php?workbook=14_06.xlsx&amp;sheet=U0&amp;row=3806&amp;col=6&amp;number=3.2&amp;sourceID=14","3.2")</f>
        <v>3.2</v>
      </c>
      <c r="G3806" s="4" t="str">
        <f>HYPERLINK("http://141.218.60.56/~jnz1568/getInfo.php?workbook=14_06.xlsx&amp;sheet=U0&amp;row=3806&amp;col=7&amp;number=0.00135&amp;sourceID=14","0.00135")</f>
        <v>0.00135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HYPERLINK("http://141.218.60.56/~jnz1568/getInfo.php?workbook=14_06.xlsx&amp;sheet=U0&amp;row=3807&amp;col=6&amp;number=3.3&amp;sourceID=14","3.3")</f>
        <v>3.3</v>
      </c>
      <c r="G3807" s="4" t="str">
        <f>HYPERLINK("http://141.218.60.56/~jnz1568/getInfo.php?workbook=14_06.xlsx&amp;sheet=U0&amp;row=3807&amp;col=7&amp;number=0.00135&amp;sourceID=14","0.00135")</f>
        <v>0.00135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HYPERLINK("http://141.218.60.56/~jnz1568/getInfo.php?workbook=14_06.xlsx&amp;sheet=U0&amp;row=3808&amp;col=6&amp;number=3.4&amp;sourceID=14","3.4")</f>
        <v>3.4</v>
      </c>
      <c r="G3808" s="4" t="str">
        <f>HYPERLINK("http://141.218.60.56/~jnz1568/getInfo.php?workbook=14_06.xlsx&amp;sheet=U0&amp;row=3808&amp;col=7&amp;number=0.00135&amp;sourceID=14","0.00135")</f>
        <v>0.00135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HYPERLINK("http://141.218.60.56/~jnz1568/getInfo.php?workbook=14_06.xlsx&amp;sheet=U0&amp;row=3809&amp;col=6&amp;number=3.5&amp;sourceID=14","3.5")</f>
        <v>3.5</v>
      </c>
      <c r="G3809" s="4" t="str">
        <f>HYPERLINK("http://141.218.60.56/~jnz1568/getInfo.php?workbook=14_06.xlsx&amp;sheet=U0&amp;row=3809&amp;col=7&amp;number=0.00135&amp;sourceID=14","0.00135")</f>
        <v>0.00135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HYPERLINK("http://141.218.60.56/~jnz1568/getInfo.php?workbook=14_06.xlsx&amp;sheet=U0&amp;row=3810&amp;col=6&amp;number=3.6&amp;sourceID=14","3.6")</f>
        <v>3.6</v>
      </c>
      <c r="G3810" s="4" t="str">
        <f>HYPERLINK("http://141.218.60.56/~jnz1568/getInfo.php?workbook=14_06.xlsx&amp;sheet=U0&amp;row=3810&amp;col=7&amp;number=0.00135&amp;sourceID=14","0.00135")</f>
        <v>0.00135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HYPERLINK("http://141.218.60.56/~jnz1568/getInfo.php?workbook=14_06.xlsx&amp;sheet=U0&amp;row=3811&amp;col=6&amp;number=3.7&amp;sourceID=14","3.7")</f>
        <v>3.7</v>
      </c>
      <c r="G3811" s="4" t="str">
        <f>HYPERLINK("http://141.218.60.56/~jnz1568/getInfo.php?workbook=14_06.xlsx&amp;sheet=U0&amp;row=3811&amp;col=7&amp;number=0.00135&amp;sourceID=14","0.00135")</f>
        <v>0.00135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HYPERLINK("http://141.218.60.56/~jnz1568/getInfo.php?workbook=14_06.xlsx&amp;sheet=U0&amp;row=3812&amp;col=6&amp;number=3.8&amp;sourceID=14","3.8")</f>
        <v>3.8</v>
      </c>
      <c r="G3812" s="4" t="str">
        <f>HYPERLINK("http://141.218.60.56/~jnz1568/getInfo.php?workbook=14_06.xlsx&amp;sheet=U0&amp;row=3812&amp;col=7&amp;number=0.00135&amp;sourceID=14","0.00135")</f>
        <v>0.00135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HYPERLINK("http://141.218.60.56/~jnz1568/getInfo.php?workbook=14_06.xlsx&amp;sheet=U0&amp;row=3813&amp;col=6&amp;number=3.9&amp;sourceID=14","3.9")</f>
        <v>3.9</v>
      </c>
      <c r="G3813" s="4" t="str">
        <f>HYPERLINK("http://141.218.60.56/~jnz1568/getInfo.php?workbook=14_06.xlsx&amp;sheet=U0&amp;row=3813&amp;col=7&amp;number=0.00135&amp;sourceID=14","0.00135")</f>
        <v>0.00135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HYPERLINK("http://141.218.60.56/~jnz1568/getInfo.php?workbook=14_06.xlsx&amp;sheet=U0&amp;row=3814&amp;col=6&amp;number=4&amp;sourceID=14","4")</f>
        <v>4</v>
      </c>
      <c r="G3814" s="4" t="str">
        <f>HYPERLINK("http://141.218.60.56/~jnz1568/getInfo.php?workbook=14_06.xlsx&amp;sheet=U0&amp;row=3814&amp;col=7&amp;number=0.00135&amp;sourceID=14","0.00135")</f>
        <v>0.00135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HYPERLINK("http://141.218.60.56/~jnz1568/getInfo.php?workbook=14_06.xlsx&amp;sheet=U0&amp;row=3815&amp;col=6&amp;number=4.1&amp;sourceID=14","4.1")</f>
        <v>4.1</v>
      </c>
      <c r="G3815" s="4" t="str">
        <f>HYPERLINK("http://141.218.60.56/~jnz1568/getInfo.php?workbook=14_06.xlsx&amp;sheet=U0&amp;row=3815&amp;col=7&amp;number=0.00135&amp;sourceID=14","0.00135")</f>
        <v>0.00135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HYPERLINK("http://141.218.60.56/~jnz1568/getInfo.php?workbook=14_06.xlsx&amp;sheet=U0&amp;row=3816&amp;col=6&amp;number=4.2&amp;sourceID=14","4.2")</f>
        <v>4.2</v>
      </c>
      <c r="G3816" s="4" t="str">
        <f>HYPERLINK("http://141.218.60.56/~jnz1568/getInfo.php?workbook=14_06.xlsx&amp;sheet=U0&amp;row=3816&amp;col=7&amp;number=0.00135&amp;sourceID=14","0.00135")</f>
        <v>0.00135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HYPERLINK("http://141.218.60.56/~jnz1568/getInfo.php?workbook=14_06.xlsx&amp;sheet=U0&amp;row=3817&amp;col=6&amp;number=4.3&amp;sourceID=14","4.3")</f>
        <v>4.3</v>
      </c>
      <c r="G3817" s="4" t="str">
        <f>HYPERLINK("http://141.218.60.56/~jnz1568/getInfo.php?workbook=14_06.xlsx&amp;sheet=U0&amp;row=3817&amp;col=7&amp;number=0.00135&amp;sourceID=14","0.00135")</f>
        <v>0.00135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HYPERLINK("http://141.218.60.56/~jnz1568/getInfo.php?workbook=14_06.xlsx&amp;sheet=U0&amp;row=3818&amp;col=6&amp;number=4.4&amp;sourceID=14","4.4")</f>
        <v>4.4</v>
      </c>
      <c r="G3818" s="4" t="str">
        <f>HYPERLINK("http://141.218.60.56/~jnz1568/getInfo.php?workbook=14_06.xlsx&amp;sheet=U0&amp;row=3818&amp;col=7&amp;number=0.00134&amp;sourceID=14","0.00134")</f>
        <v>0.00134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HYPERLINK("http://141.218.60.56/~jnz1568/getInfo.php?workbook=14_06.xlsx&amp;sheet=U0&amp;row=3819&amp;col=6&amp;number=4.5&amp;sourceID=14","4.5")</f>
        <v>4.5</v>
      </c>
      <c r="G3819" s="4" t="str">
        <f>HYPERLINK("http://141.218.60.56/~jnz1568/getInfo.php?workbook=14_06.xlsx&amp;sheet=U0&amp;row=3819&amp;col=7&amp;number=0.00134&amp;sourceID=14","0.00134")</f>
        <v>0.00134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HYPERLINK("http://141.218.60.56/~jnz1568/getInfo.php?workbook=14_06.xlsx&amp;sheet=U0&amp;row=3820&amp;col=6&amp;number=4.6&amp;sourceID=14","4.6")</f>
        <v>4.6</v>
      </c>
      <c r="G3820" s="4" t="str">
        <f>HYPERLINK("http://141.218.60.56/~jnz1568/getInfo.php?workbook=14_06.xlsx&amp;sheet=U0&amp;row=3820&amp;col=7&amp;number=0.00134&amp;sourceID=14","0.00134")</f>
        <v>0.00134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HYPERLINK("http://141.218.60.56/~jnz1568/getInfo.php?workbook=14_06.xlsx&amp;sheet=U0&amp;row=3821&amp;col=6&amp;number=4.7&amp;sourceID=14","4.7")</f>
        <v>4.7</v>
      </c>
      <c r="G3821" s="4" t="str">
        <f>HYPERLINK("http://141.218.60.56/~jnz1568/getInfo.php?workbook=14_06.xlsx&amp;sheet=U0&amp;row=3821&amp;col=7&amp;number=0.00134&amp;sourceID=14","0.00134")</f>
        <v>0.00134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HYPERLINK("http://141.218.60.56/~jnz1568/getInfo.php?workbook=14_06.xlsx&amp;sheet=U0&amp;row=3822&amp;col=6&amp;number=4.8&amp;sourceID=14","4.8")</f>
        <v>4.8</v>
      </c>
      <c r="G3822" s="4" t="str">
        <f>HYPERLINK("http://141.218.60.56/~jnz1568/getInfo.php?workbook=14_06.xlsx&amp;sheet=U0&amp;row=3822&amp;col=7&amp;number=0.00133&amp;sourceID=14","0.00133")</f>
        <v>0.00133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HYPERLINK("http://141.218.60.56/~jnz1568/getInfo.php?workbook=14_06.xlsx&amp;sheet=U0&amp;row=3823&amp;col=6&amp;number=4.9&amp;sourceID=14","4.9")</f>
        <v>4.9</v>
      </c>
      <c r="G3823" s="4" t="str">
        <f>HYPERLINK("http://141.218.60.56/~jnz1568/getInfo.php?workbook=14_06.xlsx&amp;sheet=U0&amp;row=3823&amp;col=7&amp;number=0.00133&amp;sourceID=14","0.00133")</f>
        <v>0.00133</v>
      </c>
    </row>
    <row r="3824" spans="1:7">
      <c r="A3824" s="3">
        <v>14</v>
      </c>
      <c r="B3824" s="3">
        <v>6</v>
      </c>
      <c r="C3824" s="3">
        <v>5</v>
      </c>
      <c r="D3824" s="3">
        <v>23</v>
      </c>
      <c r="E3824" s="3">
        <v>1</v>
      </c>
      <c r="F3824" s="4" t="str">
        <f>HYPERLINK("http://141.218.60.56/~jnz1568/getInfo.php?workbook=14_06.xlsx&amp;sheet=U0&amp;row=3824&amp;col=6&amp;number=3&amp;sourceID=14","3")</f>
        <v>3</v>
      </c>
      <c r="G3824" s="4" t="str">
        <f>HYPERLINK("http://141.218.60.56/~jnz1568/getInfo.php?workbook=14_06.xlsx&amp;sheet=U0&amp;row=3824&amp;col=7&amp;number=0.00275&amp;sourceID=14","0.00275")</f>
        <v>0.00275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HYPERLINK("http://141.218.60.56/~jnz1568/getInfo.php?workbook=14_06.xlsx&amp;sheet=U0&amp;row=3825&amp;col=6&amp;number=3.1&amp;sourceID=14","3.1")</f>
        <v>3.1</v>
      </c>
      <c r="G3825" s="4" t="str">
        <f>HYPERLINK("http://141.218.60.56/~jnz1568/getInfo.php?workbook=14_06.xlsx&amp;sheet=U0&amp;row=3825&amp;col=7&amp;number=0.00275&amp;sourceID=14","0.00275")</f>
        <v>0.00275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HYPERLINK("http://141.218.60.56/~jnz1568/getInfo.php?workbook=14_06.xlsx&amp;sheet=U0&amp;row=3826&amp;col=6&amp;number=3.2&amp;sourceID=14","3.2")</f>
        <v>3.2</v>
      </c>
      <c r="G3826" s="4" t="str">
        <f>HYPERLINK("http://141.218.60.56/~jnz1568/getInfo.php?workbook=14_06.xlsx&amp;sheet=U0&amp;row=3826&amp;col=7&amp;number=0.00275&amp;sourceID=14","0.00275")</f>
        <v>0.00275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HYPERLINK("http://141.218.60.56/~jnz1568/getInfo.php?workbook=14_06.xlsx&amp;sheet=U0&amp;row=3827&amp;col=6&amp;number=3.3&amp;sourceID=14","3.3")</f>
        <v>3.3</v>
      </c>
      <c r="G3827" s="4" t="str">
        <f>HYPERLINK("http://141.218.60.56/~jnz1568/getInfo.php?workbook=14_06.xlsx&amp;sheet=U0&amp;row=3827&amp;col=7&amp;number=0.00275&amp;sourceID=14","0.00275")</f>
        <v>0.00275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HYPERLINK("http://141.218.60.56/~jnz1568/getInfo.php?workbook=14_06.xlsx&amp;sheet=U0&amp;row=3828&amp;col=6&amp;number=3.4&amp;sourceID=14","3.4")</f>
        <v>3.4</v>
      </c>
      <c r="G3828" s="4" t="str">
        <f>HYPERLINK("http://141.218.60.56/~jnz1568/getInfo.php?workbook=14_06.xlsx&amp;sheet=U0&amp;row=3828&amp;col=7&amp;number=0.00275&amp;sourceID=14","0.00275")</f>
        <v>0.00275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HYPERLINK("http://141.218.60.56/~jnz1568/getInfo.php?workbook=14_06.xlsx&amp;sheet=U0&amp;row=3829&amp;col=6&amp;number=3.5&amp;sourceID=14","3.5")</f>
        <v>3.5</v>
      </c>
      <c r="G3829" s="4" t="str">
        <f>HYPERLINK("http://141.218.60.56/~jnz1568/getInfo.php?workbook=14_06.xlsx&amp;sheet=U0&amp;row=3829&amp;col=7&amp;number=0.00275&amp;sourceID=14","0.00275")</f>
        <v>0.00275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HYPERLINK("http://141.218.60.56/~jnz1568/getInfo.php?workbook=14_06.xlsx&amp;sheet=U0&amp;row=3830&amp;col=6&amp;number=3.6&amp;sourceID=14","3.6")</f>
        <v>3.6</v>
      </c>
      <c r="G3830" s="4" t="str">
        <f>HYPERLINK("http://141.218.60.56/~jnz1568/getInfo.php?workbook=14_06.xlsx&amp;sheet=U0&amp;row=3830&amp;col=7&amp;number=0.00275&amp;sourceID=14","0.00275")</f>
        <v>0.00275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HYPERLINK("http://141.218.60.56/~jnz1568/getInfo.php?workbook=14_06.xlsx&amp;sheet=U0&amp;row=3831&amp;col=6&amp;number=3.7&amp;sourceID=14","3.7")</f>
        <v>3.7</v>
      </c>
      <c r="G3831" s="4" t="str">
        <f>HYPERLINK("http://141.218.60.56/~jnz1568/getInfo.php?workbook=14_06.xlsx&amp;sheet=U0&amp;row=3831&amp;col=7&amp;number=0.00275&amp;sourceID=14","0.00275")</f>
        <v>0.00275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HYPERLINK("http://141.218.60.56/~jnz1568/getInfo.php?workbook=14_06.xlsx&amp;sheet=U0&amp;row=3832&amp;col=6&amp;number=3.8&amp;sourceID=14","3.8")</f>
        <v>3.8</v>
      </c>
      <c r="G3832" s="4" t="str">
        <f>HYPERLINK("http://141.218.60.56/~jnz1568/getInfo.php?workbook=14_06.xlsx&amp;sheet=U0&amp;row=3832&amp;col=7&amp;number=0.00275&amp;sourceID=14","0.00275")</f>
        <v>0.00275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HYPERLINK("http://141.218.60.56/~jnz1568/getInfo.php?workbook=14_06.xlsx&amp;sheet=U0&amp;row=3833&amp;col=6&amp;number=3.9&amp;sourceID=14","3.9")</f>
        <v>3.9</v>
      </c>
      <c r="G3833" s="4" t="str">
        <f>HYPERLINK("http://141.218.60.56/~jnz1568/getInfo.php?workbook=14_06.xlsx&amp;sheet=U0&amp;row=3833&amp;col=7&amp;number=0.00275&amp;sourceID=14","0.00275")</f>
        <v>0.00275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HYPERLINK("http://141.218.60.56/~jnz1568/getInfo.php?workbook=14_06.xlsx&amp;sheet=U0&amp;row=3834&amp;col=6&amp;number=4&amp;sourceID=14","4")</f>
        <v>4</v>
      </c>
      <c r="G3834" s="4" t="str">
        <f>HYPERLINK("http://141.218.60.56/~jnz1568/getInfo.php?workbook=14_06.xlsx&amp;sheet=U0&amp;row=3834&amp;col=7&amp;number=0.00275&amp;sourceID=14","0.00275")</f>
        <v>0.00275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HYPERLINK("http://141.218.60.56/~jnz1568/getInfo.php?workbook=14_06.xlsx&amp;sheet=U0&amp;row=3835&amp;col=6&amp;number=4.1&amp;sourceID=14","4.1")</f>
        <v>4.1</v>
      </c>
      <c r="G3835" s="4" t="str">
        <f>HYPERLINK("http://141.218.60.56/~jnz1568/getInfo.php?workbook=14_06.xlsx&amp;sheet=U0&amp;row=3835&amp;col=7&amp;number=0.00274&amp;sourceID=14","0.00274")</f>
        <v>0.00274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HYPERLINK("http://141.218.60.56/~jnz1568/getInfo.php?workbook=14_06.xlsx&amp;sheet=U0&amp;row=3836&amp;col=6&amp;number=4.2&amp;sourceID=14","4.2")</f>
        <v>4.2</v>
      </c>
      <c r="G3836" s="4" t="str">
        <f>HYPERLINK("http://141.218.60.56/~jnz1568/getInfo.php?workbook=14_06.xlsx&amp;sheet=U0&amp;row=3836&amp;col=7&amp;number=0.00274&amp;sourceID=14","0.00274")</f>
        <v>0.00274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HYPERLINK("http://141.218.60.56/~jnz1568/getInfo.php?workbook=14_06.xlsx&amp;sheet=U0&amp;row=3837&amp;col=6&amp;number=4.3&amp;sourceID=14","4.3")</f>
        <v>4.3</v>
      </c>
      <c r="G3837" s="4" t="str">
        <f>HYPERLINK("http://141.218.60.56/~jnz1568/getInfo.php?workbook=14_06.xlsx&amp;sheet=U0&amp;row=3837&amp;col=7&amp;number=0.00274&amp;sourceID=14","0.00274")</f>
        <v>0.00274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HYPERLINK("http://141.218.60.56/~jnz1568/getInfo.php?workbook=14_06.xlsx&amp;sheet=U0&amp;row=3838&amp;col=6&amp;number=4.4&amp;sourceID=14","4.4")</f>
        <v>4.4</v>
      </c>
      <c r="G3838" s="4" t="str">
        <f>HYPERLINK("http://141.218.60.56/~jnz1568/getInfo.php?workbook=14_06.xlsx&amp;sheet=U0&amp;row=3838&amp;col=7&amp;number=0.00273&amp;sourceID=14","0.00273")</f>
        <v>0.00273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HYPERLINK("http://141.218.60.56/~jnz1568/getInfo.php?workbook=14_06.xlsx&amp;sheet=U0&amp;row=3839&amp;col=6&amp;number=4.5&amp;sourceID=14","4.5")</f>
        <v>4.5</v>
      </c>
      <c r="G3839" s="4" t="str">
        <f>HYPERLINK("http://141.218.60.56/~jnz1568/getInfo.php?workbook=14_06.xlsx&amp;sheet=U0&amp;row=3839&amp;col=7&amp;number=0.00273&amp;sourceID=14","0.00273")</f>
        <v>0.00273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HYPERLINK("http://141.218.60.56/~jnz1568/getInfo.php?workbook=14_06.xlsx&amp;sheet=U0&amp;row=3840&amp;col=6&amp;number=4.6&amp;sourceID=14","4.6")</f>
        <v>4.6</v>
      </c>
      <c r="G3840" s="4" t="str">
        <f>HYPERLINK("http://141.218.60.56/~jnz1568/getInfo.php?workbook=14_06.xlsx&amp;sheet=U0&amp;row=3840&amp;col=7&amp;number=0.00272&amp;sourceID=14","0.00272")</f>
        <v>0.00272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HYPERLINK("http://141.218.60.56/~jnz1568/getInfo.php?workbook=14_06.xlsx&amp;sheet=U0&amp;row=3841&amp;col=6&amp;number=4.7&amp;sourceID=14","4.7")</f>
        <v>4.7</v>
      </c>
      <c r="G3841" s="4" t="str">
        <f>HYPERLINK("http://141.218.60.56/~jnz1568/getInfo.php?workbook=14_06.xlsx&amp;sheet=U0&amp;row=3841&amp;col=7&amp;number=0.00271&amp;sourceID=14","0.00271")</f>
        <v>0.00271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HYPERLINK("http://141.218.60.56/~jnz1568/getInfo.php?workbook=14_06.xlsx&amp;sheet=U0&amp;row=3842&amp;col=6&amp;number=4.8&amp;sourceID=14","4.8")</f>
        <v>4.8</v>
      </c>
      <c r="G3842" s="4" t="str">
        <f>HYPERLINK("http://141.218.60.56/~jnz1568/getInfo.php?workbook=14_06.xlsx&amp;sheet=U0&amp;row=3842&amp;col=7&amp;number=0.0027&amp;sourceID=14","0.0027")</f>
        <v>0.0027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HYPERLINK("http://141.218.60.56/~jnz1568/getInfo.php?workbook=14_06.xlsx&amp;sheet=U0&amp;row=3843&amp;col=6&amp;number=4.9&amp;sourceID=14","4.9")</f>
        <v>4.9</v>
      </c>
      <c r="G3843" s="4" t="str">
        <f>HYPERLINK("http://141.218.60.56/~jnz1568/getInfo.php?workbook=14_06.xlsx&amp;sheet=U0&amp;row=3843&amp;col=7&amp;number=0.00269&amp;sourceID=14","0.00269")</f>
        <v>0.00269</v>
      </c>
    </row>
    <row r="3844" spans="1:7">
      <c r="A3844" s="3">
        <v>14</v>
      </c>
      <c r="B3844" s="3">
        <v>6</v>
      </c>
      <c r="C3844" s="3">
        <v>5</v>
      </c>
      <c r="D3844" s="3">
        <v>24</v>
      </c>
      <c r="E3844" s="3">
        <v>1</v>
      </c>
      <c r="F3844" s="4" t="str">
        <f>HYPERLINK("http://141.218.60.56/~jnz1568/getInfo.php?workbook=14_06.xlsx&amp;sheet=U0&amp;row=3844&amp;col=6&amp;number=3&amp;sourceID=14","3")</f>
        <v>3</v>
      </c>
      <c r="G3844" s="4" t="str">
        <f>HYPERLINK("http://141.218.60.56/~jnz1568/getInfo.php?workbook=14_06.xlsx&amp;sheet=U0&amp;row=3844&amp;col=7&amp;number=0.000547&amp;sourceID=14","0.000547")</f>
        <v>0.000547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HYPERLINK("http://141.218.60.56/~jnz1568/getInfo.php?workbook=14_06.xlsx&amp;sheet=U0&amp;row=3845&amp;col=6&amp;number=3.1&amp;sourceID=14","3.1")</f>
        <v>3.1</v>
      </c>
      <c r="G3845" s="4" t="str">
        <f>HYPERLINK("http://141.218.60.56/~jnz1568/getInfo.php?workbook=14_06.xlsx&amp;sheet=U0&amp;row=3845&amp;col=7&amp;number=0.000548&amp;sourceID=14","0.000548")</f>
        <v>0.000548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HYPERLINK("http://141.218.60.56/~jnz1568/getInfo.php?workbook=14_06.xlsx&amp;sheet=U0&amp;row=3846&amp;col=6&amp;number=3.2&amp;sourceID=14","3.2")</f>
        <v>3.2</v>
      </c>
      <c r="G3846" s="4" t="str">
        <f>HYPERLINK("http://141.218.60.56/~jnz1568/getInfo.php?workbook=14_06.xlsx&amp;sheet=U0&amp;row=3846&amp;col=7&amp;number=0.00055&amp;sourceID=14","0.00055")</f>
        <v>0.00055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HYPERLINK("http://141.218.60.56/~jnz1568/getInfo.php?workbook=14_06.xlsx&amp;sheet=U0&amp;row=3847&amp;col=6&amp;number=3.3&amp;sourceID=14","3.3")</f>
        <v>3.3</v>
      </c>
      <c r="G3847" s="4" t="str">
        <f>HYPERLINK("http://141.218.60.56/~jnz1568/getInfo.php?workbook=14_06.xlsx&amp;sheet=U0&amp;row=3847&amp;col=7&amp;number=0.000552&amp;sourceID=14","0.000552")</f>
        <v>0.000552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HYPERLINK("http://141.218.60.56/~jnz1568/getInfo.php?workbook=14_06.xlsx&amp;sheet=U0&amp;row=3848&amp;col=6&amp;number=3.4&amp;sourceID=14","3.4")</f>
        <v>3.4</v>
      </c>
      <c r="G3848" s="4" t="str">
        <f>HYPERLINK("http://141.218.60.56/~jnz1568/getInfo.php?workbook=14_06.xlsx&amp;sheet=U0&amp;row=3848&amp;col=7&amp;number=0.000554&amp;sourceID=14","0.000554")</f>
        <v>0.000554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HYPERLINK("http://141.218.60.56/~jnz1568/getInfo.php?workbook=14_06.xlsx&amp;sheet=U0&amp;row=3849&amp;col=6&amp;number=3.5&amp;sourceID=14","3.5")</f>
        <v>3.5</v>
      </c>
      <c r="G3849" s="4" t="str">
        <f>HYPERLINK("http://141.218.60.56/~jnz1568/getInfo.php?workbook=14_06.xlsx&amp;sheet=U0&amp;row=3849&amp;col=7&amp;number=0.000557&amp;sourceID=14","0.000557")</f>
        <v>0.000557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HYPERLINK("http://141.218.60.56/~jnz1568/getInfo.php?workbook=14_06.xlsx&amp;sheet=U0&amp;row=3850&amp;col=6&amp;number=3.6&amp;sourceID=14","3.6")</f>
        <v>3.6</v>
      </c>
      <c r="G3850" s="4" t="str">
        <f>HYPERLINK("http://141.218.60.56/~jnz1568/getInfo.php?workbook=14_06.xlsx&amp;sheet=U0&amp;row=3850&amp;col=7&amp;number=0.00056&amp;sourceID=14","0.00056")</f>
        <v>0.00056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HYPERLINK("http://141.218.60.56/~jnz1568/getInfo.php?workbook=14_06.xlsx&amp;sheet=U0&amp;row=3851&amp;col=6&amp;number=3.7&amp;sourceID=14","3.7")</f>
        <v>3.7</v>
      </c>
      <c r="G3851" s="4" t="str">
        <f>HYPERLINK("http://141.218.60.56/~jnz1568/getInfo.php?workbook=14_06.xlsx&amp;sheet=U0&amp;row=3851&amp;col=7&amp;number=0.000565&amp;sourceID=14","0.000565")</f>
        <v>0.000565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HYPERLINK("http://141.218.60.56/~jnz1568/getInfo.php?workbook=14_06.xlsx&amp;sheet=U0&amp;row=3852&amp;col=6&amp;number=3.8&amp;sourceID=14","3.8")</f>
        <v>3.8</v>
      </c>
      <c r="G3852" s="4" t="str">
        <f>HYPERLINK("http://141.218.60.56/~jnz1568/getInfo.php?workbook=14_06.xlsx&amp;sheet=U0&amp;row=3852&amp;col=7&amp;number=0.00057&amp;sourceID=14","0.00057")</f>
        <v>0.00057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HYPERLINK("http://141.218.60.56/~jnz1568/getInfo.php?workbook=14_06.xlsx&amp;sheet=U0&amp;row=3853&amp;col=6&amp;number=3.9&amp;sourceID=14","3.9")</f>
        <v>3.9</v>
      </c>
      <c r="G3853" s="4" t="str">
        <f>HYPERLINK("http://141.218.60.56/~jnz1568/getInfo.php?workbook=14_06.xlsx&amp;sheet=U0&amp;row=3853&amp;col=7&amp;number=0.000578&amp;sourceID=14","0.000578")</f>
        <v>0.000578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HYPERLINK("http://141.218.60.56/~jnz1568/getInfo.php?workbook=14_06.xlsx&amp;sheet=U0&amp;row=3854&amp;col=6&amp;number=4&amp;sourceID=14","4")</f>
        <v>4</v>
      </c>
      <c r="G3854" s="4" t="str">
        <f>HYPERLINK("http://141.218.60.56/~jnz1568/getInfo.php?workbook=14_06.xlsx&amp;sheet=U0&amp;row=3854&amp;col=7&amp;number=0.000586&amp;sourceID=14","0.000586")</f>
        <v>0.000586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HYPERLINK("http://141.218.60.56/~jnz1568/getInfo.php?workbook=14_06.xlsx&amp;sheet=U0&amp;row=3855&amp;col=6&amp;number=4.1&amp;sourceID=14","4.1")</f>
        <v>4.1</v>
      </c>
      <c r="G3855" s="4" t="str">
        <f>HYPERLINK("http://141.218.60.56/~jnz1568/getInfo.php?workbook=14_06.xlsx&amp;sheet=U0&amp;row=3855&amp;col=7&amp;number=0.000598&amp;sourceID=14","0.000598")</f>
        <v>0.000598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HYPERLINK("http://141.218.60.56/~jnz1568/getInfo.php?workbook=14_06.xlsx&amp;sheet=U0&amp;row=3856&amp;col=6&amp;number=4.2&amp;sourceID=14","4.2")</f>
        <v>4.2</v>
      </c>
      <c r="G3856" s="4" t="str">
        <f>HYPERLINK("http://141.218.60.56/~jnz1568/getInfo.php?workbook=14_06.xlsx&amp;sheet=U0&amp;row=3856&amp;col=7&amp;number=0.000612&amp;sourceID=14","0.000612")</f>
        <v>0.000612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HYPERLINK("http://141.218.60.56/~jnz1568/getInfo.php?workbook=14_06.xlsx&amp;sheet=U0&amp;row=3857&amp;col=6&amp;number=4.3&amp;sourceID=14","4.3")</f>
        <v>4.3</v>
      </c>
      <c r="G3857" s="4" t="str">
        <f>HYPERLINK("http://141.218.60.56/~jnz1568/getInfo.php?workbook=14_06.xlsx&amp;sheet=U0&amp;row=3857&amp;col=7&amp;number=0.00063&amp;sourceID=14","0.00063")</f>
        <v>0.00063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HYPERLINK("http://141.218.60.56/~jnz1568/getInfo.php?workbook=14_06.xlsx&amp;sheet=U0&amp;row=3858&amp;col=6&amp;number=4.4&amp;sourceID=14","4.4")</f>
        <v>4.4</v>
      </c>
      <c r="G3858" s="4" t="str">
        <f>HYPERLINK("http://141.218.60.56/~jnz1568/getInfo.php?workbook=14_06.xlsx&amp;sheet=U0&amp;row=3858&amp;col=7&amp;number=0.000652&amp;sourceID=14","0.000652")</f>
        <v>0.000652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HYPERLINK("http://141.218.60.56/~jnz1568/getInfo.php?workbook=14_06.xlsx&amp;sheet=U0&amp;row=3859&amp;col=6&amp;number=4.5&amp;sourceID=14","4.5")</f>
        <v>4.5</v>
      </c>
      <c r="G3859" s="4" t="str">
        <f>HYPERLINK("http://141.218.60.56/~jnz1568/getInfo.php?workbook=14_06.xlsx&amp;sheet=U0&amp;row=3859&amp;col=7&amp;number=0.00068&amp;sourceID=14","0.00068")</f>
        <v>0.00068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HYPERLINK("http://141.218.60.56/~jnz1568/getInfo.php?workbook=14_06.xlsx&amp;sheet=U0&amp;row=3860&amp;col=6&amp;number=4.6&amp;sourceID=14","4.6")</f>
        <v>4.6</v>
      </c>
      <c r="G3860" s="4" t="str">
        <f>HYPERLINK("http://141.218.60.56/~jnz1568/getInfo.php?workbook=14_06.xlsx&amp;sheet=U0&amp;row=3860&amp;col=7&amp;number=0.000715&amp;sourceID=14","0.000715")</f>
        <v>0.000715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HYPERLINK("http://141.218.60.56/~jnz1568/getInfo.php?workbook=14_06.xlsx&amp;sheet=U0&amp;row=3861&amp;col=6&amp;number=4.7&amp;sourceID=14","4.7")</f>
        <v>4.7</v>
      </c>
      <c r="G3861" s="4" t="str">
        <f>HYPERLINK("http://141.218.60.56/~jnz1568/getInfo.php?workbook=14_06.xlsx&amp;sheet=U0&amp;row=3861&amp;col=7&amp;number=0.000758&amp;sourceID=14","0.000758")</f>
        <v>0.000758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HYPERLINK("http://141.218.60.56/~jnz1568/getInfo.php?workbook=14_06.xlsx&amp;sheet=U0&amp;row=3862&amp;col=6&amp;number=4.8&amp;sourceID=14","4.8")</f>
        <v>4.8</v>
      </c>
      <c r="G3862" s="4" t="str">
        <f>HYPERLINK("http://141.218.60.56/~jnz1568/getInfo.php?workbook=14_06.xlsx&amp;sheet=U0&amp;row=3862&amp;col=7&amp;number=0.000813&amp;sourceID=14","0.000813")</f>
        <v>0.000813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HYPERLINK("http://141.218.60.56/~jnz1568/getInfo.php?workbook=14_06.xlsx&amp;sheet=U0&amp;row=3863&amp;col=6&amp;number=4.9&amp;sourceID=14","4.9")</f>
        <v>4.9</v>
      </c>
      <c r="G3863" s="4" t="str">
        <f>HYPERLINK("http://141.218.60.56/~jnz1568/getInfo.php?workbook=14_06.xlsx&amp;sheet=U0&amp;row=3863&amp;col=7&amp;number=0.000881&amp;sourceID=14","0.000881")</f>
        <v>0.000881</v>
      </c>
    </row>
    <row r="3864" spans="1:7">
      <c r="A3864" s="3">
        <v>14</v>
      </c>
      <c r="B3864" s="3">
        <v>6</v>
      </c>
      <c r="C3864" s="3">
        <v>5</v>
      </c>
      <c r="D3864" s="3">
        <v>25</v>
      </c>
      <c r="E3864" s="3">
        <v>1</v>
      </c>
      <c r="F3864" s="4" t="str">
        <f>HYPERLINK("http://141.218.60.56/~jnz1568/getInfo.php?workbook=14_06.xlsx&amp;sheet=U0&amp;row=3864&amp;col=6&amp;number=3&amp;sourceID=14","3")</f>
        <v>3</v>
      </c>
      <c r="G3864" s="4" t="str">
        <f>HYPERLINK("http://141.218.60.56/~jnz1568/getInfo.php?workbook=14_06.xlsx&amp;sheet=U0&amp;row=3864&amp;col=7&amp;number=0.00202&amp;sourceID=14","0.00202")</f>
        <v>0.00202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HYPERLINK("http://141.218.60.56/~jnz1568/getInfo.php?workbook=14_06.xlsx&amp;sheet=U0&amp;row=3865&amp;col=6&amp;number=3.1&amp;sourceID=14","3.1")</f>
        <v>3.1</v>
      </c>
      <c r="G3865" s="4" t="str">
        <f>HYPERLINK("http://141.218.60.56/~jnz1568/getInfo.php?workbook=14_06.xlsx&amp;sheet=U0&amp;row=3865&amp;col=7&amp;number=0.00202&amp;sourceID=14","0.00202")</f>
        <v>0.00202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HYPERLINK("http://141.218.60.56/~jnz1568/getInfo.php?workbook=14_06.xlsx&amp;sheet=U0&amp;row=3866&amp;col=6&amp;number=3.2&amp;sourceID=14","3.2")</f>
        <v>3.2</v>
      </c>
      <c r="G3866" s="4" t="str">
        <f>HYPERLINK("http://141.218.60.56/~jnz1568/getInfo.php?workbook=14_06.xlsx&amp;sheet=U0&amp;row=3866&amp;col=7&amp;number=0.00202&amp;sourceID=14","0.00202")</f>
        <v>0.00202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HYPERLINK("http://141.218.60.56/~jnz1568/getInfo.php?workbook=14_06.xlsx&amp;sheet=U0&amp;row=3867&amp;col=6&amp;number=3.3&amp;sourceID=14","3.3")</f>
        <v>3.3</v>
      </c>
      <c r="G3867" s="4" t="str">
        <f>HYPERLINK("http://141.218.60.56/~jnz1568/getInfo.php?workbook=14_06.xlsx&amp;sheet=U0&amp;row=3867&amp;col=7&amp;number=0.00202&amp;sourceID=14","0.00202")</f>
        <v>0.00202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HYPERLINK("http://141.218.60.56/~jnz1568/getInfo.php?workbook=14_06.xlsx&amp;sheet=U0&amp;row=3868&amp;col=6&amp;number=3.4&amp;sourceID=14","3.4")</f>
        <v>3.4</v>
      </c>
      <c r="G3868" s="4" t="str">
        <f>HYPERLINK("http://141.218.60.56/~jnz1568/getInfo.php?workbook=14_06.xlsx&amp;sheet=U0&amp;row=3868&amp;col=7&amp;number=0.00202&amp;sourceID=14","0.00202")</f>
        <v>0.00202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HYPERLINK("http://141.218.60.56/~jnz1568/getInfo.php?workbook=14_06.xlsx&amp;sheet=U0&amp;row=3869&amp;col=6&amp;number=3.5&amp;sourceID=14","3.5")</f>
        <v>3.5</v>
      </c>
      <c r="G3869" s="4" t="str">
        <f>HYPERLINK("http://141.218.60.56/~jnz1568/getInfo.php?workbook=14_06.xlsx&amp;sheet=U0&amp;row=3869&amp;col=7&amp;number=0.00202&amp;sourceID=14","0.00202")</f>
        <v>0.00202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HYPERLINK("http://141.218.60.56/~jnz1568/getInfo.php?workbook=14_06.xlsx&amp;sheet=U0&amp;row=3870&amp;col=6&amp;number=3.6&amp;sourceID=14","3.6")</f>
        <v>3.6</v>
      </c>
      <c r="G3870" s="4" t="str">
        <f>HYPERLINK("http://141.218.60.56/~jnz1568/getInfo.php?workbook=14_06.xlsx&amp;sheet=U0&amp;row=3870&amp;col=7&amp;number=0.00202&amp;sourceID=14","0.00202")</f>
        <v>0.00202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HYPERLINK("http://141.218.60.56/~jnz1568/getInfo.php?workbook=14_06.xlsx&amp;sheet=U0&amp;row=3871&amp;col=6&amp;number=3.7&amp;sourceID=14","3.7")</f>
        <v>3.7</v>
      </c>
      <c r="G3871" s="4" t="str">
        <f>HYPERLINK("http://141.218.60.56/~jnz1568/getInfo.php?workbook=14_06.xlsx&amp;sheet=U0&amp;row=3871&amp;col=7&amp;number=0.00202&amp;sourceID=14","0.00202")</f>
        <v>0.00202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HYPERLINK("http://141.218.60.56/~jnz1568/getInfo.php?workbook=14_06.xlsx&amp;sheet=U0&amp;row=3872&amp;col=6&amp;number=3.8&amp;sourceID=14","3.8")</f>
        <v>3.8</v>
      </c>
      <c r="G3872" s="4" t="str">
        <f>HYPERLINK("http://141.218.60.56/~jnz1568/getInfo.php?workbook=14_06.xlsx&amp;sheet=U0&amp;row=3872&amp;col=7&amp;number=0.00202&amp;sourceID=14","0.00202")</f>
        <v>0.00202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HYPERLINK("http://141.218.60.56/~jnz1568/getInfo.php?workbook=14_06.xlsx&amp;sheet=U0&amp;row=3873&amp;col=6&amp;number=3.9&amp;sourceID=14","3.9")</f>
        <v>3.9</v>
      </c>
      <c r="G3873" s="4" t="str">
        <f>HYPERLINK("http://141.218.60.56/~jnz1568/getInfo.php?workbook=14_06.xlsx&amp;sheet=U0&amp;row=3873&amp;col=7&amp;number=0.00202&amp;sourceID=14","0.00202")</f>
        <v>0.00202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HYPERLINK("http://141.218.60.56/~jnz1568/getInfo.php?workbook=14_06.xlsx&amp;sheet=U0&amp;row=3874&amp;col=6&amp;number=4&amp;sourceID=14","4")</f>
        <v>4</v>
      </c>
      <c r="G3874" s="4" t="str">
        <f>HYPERLINK("http://141.218.60.56/~jnz1568/getInfo.php?workbook=14_06.xlsx&amp;sheet=U0&amp;row=3874&amp;col=7&amp;number=0.00202&amp;sourceID=14","0.00202")</f>
        <v>0.00202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HYPERLINK("http://141.218.60.56/~jnz1568/getInfo.php?workbook=14_06.xlsx&amp;sheet=U0&amp;row=3875&amp;col=6&amp;number=4.1&amp;sourceID=14","4.1")</f>
        <v>4.1</v>
      </c>
      <c r="G3875" s="4" t="str">
        <f>HYPERLINK("http://141.218.60.56/~jnz1568/getInfo.php?workbook=14_06.xlsx&amp;sheet=U0&amp;row=3875&amp;col=7&amp;number=0.00202&amp;sourceID=14","0.00202")</f>
        <v>0.00202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HYPERLINK("http://141.218.60.56/~jnz1568/getInfo.php?workbook=14_06.xlsx&amp;sheet=U0&amp;row=3876&amp;col=6&amp;number=4.2&amp;sourceID=14","4.2")</f>
        <v>4.2</v>
      </c>
      <c r="G3876" s="4" t="str">
        <f>HYPERLINK("http://141.218.60.56/~jnz1568/getInfo.php?workbook=14_06.xlsx&amp;sheet=U0&amp;row=3876&amp;col=7&amp;number=0.00201&amp;sourceID=14","0.00201")</f>
        <v>0.00201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HYPERLINK("http://141.218.60.56/~jnz1568/getInfo.php?workbook=14_06.xlsx&amp;sheet=U0&amp;row=3877&amp;col=6&amp;number=4.3&amp;sourceID=14","4.3")</f>
        <v>4.3</v>
      </c>
      <c r="G3877" s="4" t="str">
        <f>HYPERLINK("http://141.218.60.56/~jnz1568/getInfo.php?workbook=14_06.xlsx&amp;sheet=U0&amp;row=3877&amp;col=7&amp;number=0.00201&amp;sourceID=14","0.00201")</f>
        <v>0.00201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HYPERLINK("http://141.218.60.56/~jnz1568/getInfo.php?workbook=14_06.xlsx&amp;sheet=U0&amp;row=3878&amp;col=6&amp;number=4.4&amp;sourceID=14","4.4")</f>
        <v>4.4</v>
      </c>
      <c r="G3878" s="4" t="str">
        <f>HYPERLINK("http://141.218.60.56/~jnz1568/getInfo.php?workbook=14_06.xlsx&amp;sheet=U0&amp;row=3878&amp;col=7&amp;number=0.00201&amp;sourceID=14","0.00201")</f>
        <v>0.00201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HYPERLINK("http://141.218.60.56/~jnz1568/getInfo.php?workbook=14_06.xlsx&amp;sheet=U0&amp;row=3879&amp;col=6&amp;number=4.5&amp;sourceID=14","4.5")</f>
        <v>4.5</v>
      </c>
      <c r="G3879" s="4" t="str">
        <f>HYPERLINK("http://141.218.60.56/~jnz1568/getInfo.php?workbook=14_06.xlsx&amp;sheet=U0&amp;row=3879&amp;col=7&amp;number=0.002&amp;sourceID=14","0.002")</f>
        <v>0.002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HYPERLINK("http://141.218.60.56/~jnz1568/getInfo.php?workbook=14_06.xlsx&amp;sheet=U0&amp;row=3880&amp;col=6&amp;number=4.6&amp;sourceID=14","4.6")</f>
        <v>4.6</v>
      </c>
      <c r="G3880" s="4" t="str">
        <f>HYPERLINK("http://141.218.60.56/~jnz1568/getInfo.php?workbook=14_06.xlsx&amp;sheet=U0&amp;row=3880&amp;col=7&amp;number=0.002&amp;sourceID=14","0.002")</f>
        <v>0.002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HYPERLINK("http://141.218.60.56/~jnz1568/getInfo.php?workbook=14_06.xlsx&amp;sheet=U0&amp;row=3881&amp;col=6&amp;number=4.7&amp;sourceID=14","4.7")</f>
        <v>4.7</v>
      </c>
      <c r="G3881" s="4" t="str">
        <f>HYPERLINK("http://141.218.60.56/~jnz1568/getInfo.php?workbook=14_06.xlsx&amp;sheet=U0&amp;row=3881&amp;col=7&amp;number=0.00199&amp;sourceID=14","0.00199")</f>
        <v>0.00199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HYPERLINK("http://141.218.60.56/~jnz1568/getInfo.php?workbook=14_06.xlsx&amp;sheet=U0&amp;row=3882&amp;col=6&amp;number=4.8&amp;sourceID=14","4.8")</f>
        <v>4.8</v>
      </c>
      <c r="G3882" s="4" t="str">
        <f>HYPERLINK("http://141.218.60.56/~jnz1568/getInfo.php?workbook=14_06.xlsx&amp;sheet=U0&amp;row=3882&amp;col=7&amp;number=0.00198&amp;sourceID=14","0.00198")</f>
        <v>0.00198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HYPERLINK("http://141.218.60.56/~jnz1568/getInfo.php?workbook=14_06.xlsx&amp;sheet=U0&amp;row=3883&amp;col=6&amp;number=4.9&amp;sourceID=14","4.9")</f>
        <v>4.9</v>
      </c>
      <c r="G3883" s="4" t="str">
        <f>HYPERLINK("http://141.218.60.56/~jnz1568/getInfo.php?workbook=14_06.xlsx&amp;sheet=U0&amp;row=3883&amp;col=7&amp;number=0.00197&amp;sourceID=14","0.00197")</f>
        <v>0.00197</v>
      </c>
    </row>
    <row r="3884" spans="1:7">
      <c r="A3884" s="3">
        <v>14</v>
      </c>
      <c r="B3884" s="3">
        <v>6</v>
      </c>
      <c r="C3884" s="3">
        <v>5</v>
      </c>
      <c r="D3884" s="3">
        <v>26</v>
      </c>
      <c r="E3884" s="3">
        <v>1</v>
      </c>
      <c r="F3884" s="4" t="str">
        <f>HYPERLINK("http://141.218.60.56/~jnz1568/getInfo.php?workbook=14_06.xlsx&amp;sheet=U0&amp;row=3884&amp;col=6&amp;number=3&amp;sourceID=14","3")</f>
        <v>3</v>
      </c>
      <c r="G3884" s="4" t="str">
        <f>HYPERLINK("http://141.218.60.56/~jnz1568/getInfo.php?workbook=14_06.xlsx&amp;sheet=U0&amp;row=3884&amp;col=7&amp;number=0.0026&amp;sourceID=14","0.0026")</f>
        <v>0.0026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HYPERLINK("http://141.218.60.56/~jnz1568/getInfo.php?workbook=14_06.xlsx&amp;sheet=U0&amp;row=3885&amp;col=6&amp;number=3.1&amp;sourceID=14","3.1")</f>
        <v>3.1</v>
      </c>
      <c r="G3885" s="4" t="str">
        <f>HYPERLINK("http://141.218.60.56/~jnz1568/getInfo.php?workbook=14_06.xlsx&amp;sheet=U0&amp;row=3885&amp;col=7&amp;number=0.0026&amp;sourceID=14","0.0026")</f>
        <v>0.0026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HYPERLINK("http://141.218.60.56/~jnz1568/getInfo.php?workbook=14_06.xlsx&amp;sheet=U0&amp;row=3886&amp;col=6&amp;number=3.2&amp;sourceID=14","3.2")</f>
        <v>3.2</v>
      </c>
      <c r="G3886" s="4" t="str">
        <f>HYPERLINK("http://141.218.60.56/~jnz1568/getInfo.php?workbook=14_06.xlsx&amp;sheet=U0&amp;row=3886&amp;col=7&amp;number=0.0026&amp;sourceID=14","0.0026")</f>
        <v>0.0026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HYPERLINK("http://141.218.60.56/~jnz1568/getInfo.php?workbook=14_06.xlsx&amp;sheet=U0&amp;row=3887&amp;col=6&amp;number=3.3&amp;sourceID=14","3.3")</f>
        <v>3.3</v>
      </c>
      <c r="G3887" s="4" t="str">
        <f>HYPERLINK("http://141.218.60.56/~jnz1568/getInfo.php?workbook=14_06.xlsx&amp;sheet=U0&amp;row=3887&amp;col=7&amp;number=0.0026&amp;sourceID=14","0.0026")</f>
        <v>0.0026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HYPERLINK("http://141.218.60.56/~jnz1568/getInfo.php?workbook=14_06.xlsx&amp;sheet=U0&amp;row=3888&amp;col=6&amp;number=3.4&amp;sourceID=14","3.4")</f>
        <v>3.4</v>
      </c>
      <c r="G3888" s="4" t="str">
        <f>HYPERLINK("http://141.218.60.56/~jnz1568/getInfo.php?workbook=14_06.xlsx&amp;sheet=U0&amp;row=3888&amp;col=7&amp;number=0.0026&amp;sourceID=14","0.0026")</f>
        <v>0.0026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HYPERLINK("http://141.218.60.56/~jnz1568/getInfo.php?workbook=14_06.xlsx&amp;sheet=U0&amp;row=3889&amp;col=6&amp;number=3.5&amp;sourceID=14","3.5")</f>
        <v>3.5</v>
      </c>
      <c r="G3889" s="4" t="str">
        <f>HYPERLINK("http://141.218.60.56/~jnz1568/getInfo.php?workbook=14_06.xlsx&amp;sheet=U0&amp;row=3889&amp;col=7&amp;number=0.0026&amp;sourceID=14","0.0026")</f>
        <v>0.0026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HYPERLINK("http://141.218.60.56/~jnz1568/getInfo.php?workbook=14_06.xlsx&amp;sheet=U0&amp;row=3890&amp;col=6&amp;number=3.6&amp;sourceID=14","3.6")</f>
        <v>3.6</v>
      </c>
      <c r="G3890" s="4" t="str">
        <f>HYPERLINK("http://141.218.60.56/~jnz1568/getInfo.php?workbook=14_06.xlsx&amp;sheet=U0&amp;row=3890&amp;col=7&amp;number=0.0026&amp;sourceID=14","0.0026")</f>
        <v>0.0026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HYPERLINK("http://141.218.60.56/~jnz1568/getInfo.php?workbook=14_06.xlsx&amp;sheet=U0&amp;row=3891&amp;col=6&amp;number=3.7&amp;sourceID=14","3.7")</f>
        <v>3.7</v>
      </c>
      <c r="G3891" s="4" t="str">
        <f>HYPERLINK("http://141.218.60.56/~jnz1568/getInfo.php?workbook=14_06.xlsx&amp;sheet=U0&amp;row=3891&amp;col=7&amp;number=0.0026&amp;sourceID=14","0.0026")</f>
        <v>0.0026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HYPERLINK("http://141.218.60.56/~jnz1568/getInfo.php?workbook=14_06.xlsx&amp;sheet=U0&amp;row=3892&amp;col=6&amp;number=3.8&amp;sourceID=14","3.8")</f>
        <v>3.8</v>
      </c>
      <c r="G3892" s="4" t="str">
        <f>HYPERLINK("http://141.218.60.56/~jnz1568/getInfo.php?workbook=14_06.xlsx&amp;sheet=U0&amp;row=3892&amp;col=7&amp;number=0.0026&amp;sourceID=14","0.0026")</f>
        <v>0.0026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HYPERLINK("http://141.218.60.56/~jnz1568/getInfo.php?workbook=14_06.xlsx&amp;sheet=U0&amp;row=3893&amp;col=6&amp;number=3.9&amp;sourceID=14","3.9")</f>
        <v>3.9</v>
      </c>
      <c r="G3893" s="4" t="str">
        <f>HYPERLINK("http://141.218.60.56/~jnz1568/getInfo.php?workbook=14_06.xlsx&amp;sheet=U0&amp;row=3893&amp;col=7&amp;number=0.0026&amp;sourceID=14","0.0026")</f>
        <v>0.0026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HYPERLINK("http://141.218.60.56/~jnz1568/getInfo.php?workbook=14_06.xlsx&amp;sheet=U0&amp;row=3894&amp;col=6&amp;number=4&amp;sourceID=14","4")</f>
        <v>4</v>
      </c>
      <c r="G3894" s="4" t="str">
        <f>HYPERLINK("http://141.218.60.56/~jnz1568/getInfo.php?workbook=14_06.xlsx&amp;sheet=U0&amp;row=3894&amp;col=7&amp;number=0.0026&amp;sourceID=14","0.0026")</f>
        <v>0.0026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HYPERLINK("http://141.218.60.56/~jnz1568/getInfo.php?workbook=14_06.xlsx&amp;sheet=U0&amp;row=3895&amp;col=6&amp;number=4.1&amp;sourceID=14","4.1")</f>
        <v>4.1</v>
      </c>
      <c r="G3895" s="4" t="str">
        <f>HYPERLINK("http://141.218.60.56/~jnz1568/getInfo.php?workbook=14_06.xlsx&amp;sheet=U0&amp;row=3895&amp;col=7&amp;number=0.00259&amp;sourceID=14","0.00259")</f>
        <v>0.00259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HYPERLINK("http://141.218.60.56/~jnz1568/getInfo.php?workbook=14_06.xlsx&amp;sheet=U0&amp;row=3896&amp;col=6&amp;number=4.2&amp;sourceID=14","4.2")</f>
        <v>4.2</v>
      </c>
      <c r="G3896" s="4" t="str">
        <f>HYPERLINK("http://141.218.60.56/~jnz1568/getInfo.php?workbook=14_06.xlsx&amp;sheet=U0&amp;row=3896&amp;col=7&amp;number=0.00259&amp;sourceID=14","0.00259")</f>
        <v>0.00259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HYPERLINK("http://141.218.60.56/~jnz1568/getInfo.php?workbook=14_06.xlsx&amp;sheet=U0&amp;row=3897&amp;col=6&amp;number=4.3&amp;sourceID=14","4.3")</f>
        <v>4.3</v>
      </c>
      <c r="G3897" s="4" t="str">
        <f>HYPERLINK("http://141.218.60.56/~jnz1568/getInfo.php?workbook=14_06.xlsx&amp;sheet=U0&amp;row=3897&amp;col=7&amp;number=0.00259&amp;sourceID=14","0.00259")</f>
        <v>0.00259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HYPERLINK("http://141.218.60.56/~jnz1568/getInfo.php?workbook=14_06.xlsx&amp;sheet=U0&amp;row=3898&amp;col=6&amp;number=4.4&amp;sourceID=14","4.4")</f>
        <v>4.4</v>
      </c>
      <c r="G3898" s="4" t="str">
        <f>HYPERLINK("http://141.218.60.56/~jnz1568/getInfo.php?workbook=14_06.xlsx&amp;sheet=U0&amp;row=3898&amp;col=7&amp;number=0.00258&amp;sourceID=14","0.00258")</f>
        <v>0.00258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HYPERLINK("http://141.218.60.56/~jnz1568/getInfo.php?workbook=14_06.xlsx&amp;sheet=U0&amp;row=3899&amp;col=6&amp;number=4.5&amp;sourceID=14","4.5")</f>
        <v>4.5</v>
      </c>
      <c r="G3899" s="4" t="str">
        <f>HYPERLINK("http://141.218.60.56/~jnz1568/getInfo.php?workbook=14_06.xlsx&amp;sheet=U0&amp;row=3899&amp;col=7&amp;number=0.00258&amp;sourceID=14","0.00258")</f>
        <v>0.00258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HYPERLINK("http://141.218.60.56/~jnz1568/getInfo.php?workbook=14_06.xlsx&amp;sheet=U0&amp;row=3900&amp;col=6&amp;number=4.6&amp;sourceID=14","4.6")</f>
        <v>4.6</v>
      </c>
      <c r="G3900" s="4" t="str">
        <f>HYPERLINK("http://141.218.60.56/~jnz1568/getInfo.php?workbook=14_06.xlsx&amp;sheet=U0&amp;row=3900&amp;col=7&amp;number=0.00257&amp;sourceID=14","0.00257")</f>
        <v>0.00257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HYPERLINK("http://141.218.60.56/~jnz1568/getInfo.php?workbook=14_06.xlsx&amp;sheet=U0&amp;row=3901&amp;col=6&amp;number=4.7&amp;sourceID=14","4.7")</f>
        <v>4.7</v>
      </c>
      <c r="G3901" s="4" t="str">
        <f>HYPERLINK("http://141.218.60.56/~jnz1568/getInfo.php?workbook=14_06.xlsx&amp;sheet=U0&amp;row=3901&amp;col=7&amp;number=0.00256&amp;sourceID=14","0.00256")</f>
        <v>0.00256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HYPERLINK("http://141.218.60.56/~jnz1568/getInfo.php?workbook=14_06.xlsx&amp;sheet=U0&amp;row=3902&amp;col=6&amp;number=4.8&amp;sourceID=14","4.8")</f>
        <v>4.8</v>
      </c>
      <c r="G3902" s="4" t="str">
        <f>HYPERLINK("http://141.218.60.56/~jnz1568/getInfo.php?workbook=14_06.xlsx&amp;sheet=U0&amp;row=3902&amp;col=7&amp;number=0.00255&amp;sourceID=14","0.00255")</f>
        <v>0.00255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HYPERLINK("http://141.218.60.56/~jnz1568/getInfo.php?workbook=14_06.xlsx&amp;sheet=U0&amp;row=3903&amp;col=6&amp;number=4.9&amp;sourceID=14","4.9")</f>
        <v>4.9</v>
      </c>
      <c r="G3903" s="4" t="str">
        <f>HYPERLINK("http://141.218.60.56/~jnz1568/getInfo.php?workbook=14_06.xlsx&amp;sheet=U0&amp;row=3903&amp;col=7&amp;number=0.00254&amp;sourceID=14","0.00254")</f>
        <v>0.00254</v>
      </c>
    </row>
    <row r="3904" spans="1:7">
      <c r="A3904" s="3">
        <v>14</v>
      </c>
      <c r="B3904" s="3">
        <v>6</v>
      </c>
      <c r="C3904" s="3">
        <v>5</v>
      </c>
      <c r="D3904" s="3">
        <v>27</v>
      </c>
      <c r="E3904" s="3">
        <v>1</v>
      </c>
      <c r="F3904" s="4" t="str">
        <f>HYPERLINK("http://141.218.60.56/~jnz1568/getInfo.php?workbook=14_06.xlsx&amp;sheet=U0&amp;row=3904&amp;col=6&amp;number=3&amp;sourceID=14","3")</f>
        <v>3</v>
      </c>
      <c r="G3904" s="4" t="str">
        <f>HYPERLINK("http://141.218.60.56/~jnz1568/getInfo.php?workbook=14_06.xlsx&amp;sheet=U0&amp;row=3904&amp;col=7&amp;number=0.00462&amp;sourceID=14","0.00462")</f>
        <v>0.00462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HYPERLINK("http://141.218.60.56/~jnz1568/getInfo.php?workbook=14_06.xlsx&amp;sheet=U0&amp;row=3905&amp;col=6&amp;number=3.1&amp;sourceID=14","3.1")</f>
        <v>3.1</v>
      </c>
      <c r="G3905" s="4" t="str">
        <f>HYPERLINK("http://141.218.60.56/~jnz1568/getInfo.php?workbook=14_06.xlsx&amp;sheet=U0&amp;row=3905&amp;col=7&amp;number=0.00462&amp;sourceID=14","0.00462")</f>
        <v>0.00462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HYPERLINK("http://141.218.60.56/~jnz1568/getInfo.php?workbook=14_06.xlsx&amp;sheet=U0&amp;row=3906&amp;col=6&amp;number=3.2&amp;sourceID=14","3.2")</f>
        <v>3.2</v>
      </c>
      <c r="G3906" s="4" t="str">
        <f>HYPERLINK("http://141.218.60.56/~jnz1568/getInfo.php?workbook=14_06.xlsx&amp;sheet=U0&amp;row=3906&amp;col=7&amp;number=0.00462&amp;sourceID=14","0.00462")</f>
        <v>0.00462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HYPERLINK("http://141.218.60.56/~jnz1568/getInfo.php?workbook=14_06.xlsx&amp;sheet=U0&amp;row=3907&amp;col=6&amp;number=3.3&amp;sourceID=14","3.3")</f>
        <v>3.3</v>
      </c>
      <c r="G3907" s="4" t="str">
        <f>HYPERLINK("http://141.218.60.56/~jnz1568/getInfo.php?workbook=14_06.xlsx&amp;sheet=U0&amp;row=3907&amp;col=7&amp;number=0.00461&amp;sourceID=14","0.00461")</f>
        <v>0.00461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HYPERLINK("http://141.218.60.56/~jnz1568/getInfo.php?workbook=14_06.xlsx&amp;sheet=U0&amp;row=3908&amp;col=6&amp;number=3.4&amp;sourceID=14","3.4")</f>
        <v>3.4</v>
      </c>
      <c r="G3908" s="4" t="str">
        <f>HYPERLINK("http://141.218.60.56/~jnz1568/getInfo.php?workbook=14_06.xlsx&amp;sheet=U0&amp;row=3908&amp;col=7&amp;number=0.00461&amp;sourceID=14","0.00461")</f>
        <v>0.00461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HYPERLINK("http://141.218.60.56/~jnz1568/getInfo.php?workbook=14_06.xlsx&amp;sheet=U0&amp;row=3909&amp;col=6&amp;number=3.5&amp;sourceID=14","3.5")</f>
        <v>3.5</v>
      </c>
      <c r="G3909" s="4" t="str">
        <f>HYPERLINK("http://141.218.60.56/~jnz1568/getInfo.php?workbook=14_06.xlsx&amp;sheet=U0&amp;row=3909&amp;col=7&amp;number=0.00461&amp;sourceID=14","0.00461")</f>
        <v>0.00461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HYPERLINK("http://141.218.60.56/~jnz1568/getInfo.php?workbook=14_06.xlsx&amp;sheet=U0&amp;row=3910&amp;col=6&amp;number=3.6&amp;sourceID=14","3.6")</f>
        <v>3.6</v>
      </c>
      <c r="G3910" s="4" t="str">
        <f>HYPERLINK("http://141.218.60.56/~jnz1568/getInfo.php?workbook=14_06.xlsx&amp;sheet=U0&amp;row=3910&amp;col=7&amp;number=0.00461&amp;sourceID=14","0.00461")</f>
        <v>0.00461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HYPERLINK("http://141.218.60.56/~jnz1568/getInfo.php?workbook=14_06.xlsx&amp;sheet=U0&amp;row=3911&amp;col=6&amp;number=3.7&amp;sourceID=14","3.7")</f>
        <v>3.7</v>
      </c>
      <c r="G3911" s="4" t="str">
        <f>HYPERLINK("http://141.218.60.56/~jnz1568/getInfo.php?workbook=14_06.xlsx&amp;sheet=U0&amp;row=3911&amp;col=7&amp;number=0.00461&amp;sourceID=14","0.00461")</f>
        <v>0.00461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HYPERLINK("http://141.218.60.56/~jnz1568/getInfo.php?workbook=14_06.xlsx&amp;sheet=U0&amp;row=3912&amp;col=6&amp;number=3.8&amp;sourceID=14","3.8")</f>
        <v>3.8</v>
      </c>
      <c r="G3912" s="4" t="str">
        <f>HYPERLINK("http://141.218.60.56/~jnz1568/getInfo.php?workbook=14_06.xlsx&amp;sheet=U0&amp;row=3912&amp;col=7&amp;number=0.00461&amp;sourceID=14","0.00461")</f>
        <v>0.00461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HYPERLINK("http://141.218.60.56/~jnz1568/getInfo.php?workbook=14_06.xlsx&amp;sheet=U0&amp;row=3913&amp;col=6&amp;number=3.9&amp;sourceID=14","3.9")</f>
        <v>3.9</v>
      </c>
      <c r="G3913" s="4" t="str">
        <f>HYPERLINK("http://141.218.60.56/~jnz1568/getInfo.php?workbook=14_06.xlsx&amp;sheet=U0&amp;row=3913&amp;col=7&amp;number=0.00461&amp;sourceID=14","0.00461")</f>
        <v>0.00461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HYPERLINK("http://141.218.60.56/~jnz1568/getInfo.php?workbook=14_06.xlsx&amp;sheet=U0&amp;row=3914&amp;col=6&amp;number=4&amp;sourceID=14","4")</f>
        <v>4</v>
      </c>
      <c r="G3914" s="4" t="str">
        <f>HYPERLINK("http://141.218.60.56/~jnz1568/getInfo.php?workbook=14_06.xlsx&amp;sheet=U0&amp;row=3914&amp;col=7&amp;number=0.0046&amp;sourceID=14","0.0046")</f>
        <v>0.0046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HYPERLINK("http://141.218.60.56/~jnz1568/getInfo.php?workbook=14_06.xlsx&amp;sheet=U0&amp;row=3915&amp;col=6&amp;number=4.1&amp;sourceID=14","4.1")</f>
        <v>4.1</v>
      </c>
      <c r="G3915" s="4" t="str">
        <f>HYPERLINK("http://141.218.60.56/~jnz1568/getInfo.php?workbook=14_06.xlsx&amp;sheet=U0&amp;row=3915&amp;col=7&amp;number=0.0046&amp;sourceID=14","0.0046")</f>
        <v>0.0046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HYPERLINK("http://141.218.60.56/~jnz1568/getInfo.php?workbook=14_06.xlsx&amp;sheet=U0&amp;row=3916&amp;col=6&amp;number=4.2&amp;sourceID=14","4.2")</f>
        <v>4.2</v>
      </c>
      <c r="G3916" s="4" t="str">
        <f>HYPERLINK("http://141.218.60.56/~jnz1568/getInfo.php?workbook=14_06.xlsx&amp;sheet=U0&amp;row=3916&amp;col=7&amp;number=0.00459&amp;sourceID=14","0.00459")</f>
        <v>0.00459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HYPERLINK("http://141.218.60.56/~jnz1568/getInfo.php?workbook=14_06.xlsx&amp;sheet=U0&amp;row=3917&amp;col=6&amp;number=4.3&amp;sourceID=14","4.3")</f>
        <v>4.3</v>
      </c>
      <c r="G3917" s="4" t="str">
        <f>HYPERLINK("http://141.218.60.56/~jnz1568/getInfo.php?workbook=14_06.xlsx&amp;sheet=U0&amp;row=3917&amp;col=7&amp;number=0.00459&amp;sourceID=14","0.00459")</f>
        <v>0.00459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HYPERLINK("http://141.218.60.56/~jnz1568/getInfo.php?workbook=14_06.xlsx&amp;sheet=U0&amp;row=3918&amp;col=6&amp;number=4.4&amp;sourceID=14","4.4")</f>
        <v>4.4</v>
      </c>
      <c r="G3918" s="4" t="str">
        <f>HYPERLINK("http://141.218.60.56/~jnz1568/getInfo.php?workbook=14_06.xlsx&amp;sheet=U0&amp;row=3918&amp;col=7&amp;number=0.00458&amp;sourceID=14","0.00458")</f>
        <v>0.00458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HYPERLINK("http://141.218.60.56/~jnz1568/getInfo.php?workbook=14_06.xlsx&amp;sheet=U0&amp;row=3919&amp;col=6&amp;number=4.5&amp;sourceID=14","4.5")</f>
        <v>4.5</v>
      </c>
      <c r="G3919" s="4" t="str">
        <f>HYPERLINK("http://141.218.60.56/~jnz1568/getInfo.php?workbook=14_06.xlsx&amp;sheet=U0&amp;row=3919&amp;col=7&amp;number=0.00457&amp;sourceID=14","0.00457")</f>
        <v>0.00457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HYPERLINK("http://141.218.60.56/~jnz1568/getInfo.php?workbook=14_06.xlsx&amp;sheet=U0&amp;row=3920&amp;col=6&amp;number=4.6&amp;sourceID=14","4.6")</f>
        <v>4.6</v>
      </c>
      <c r="G3920" s="4" t="str">
        <f>HYPERLINK("http://141.218.60.56/~jnz1568/getInfo.php?workbook=14_06.xlsx&amp;sheet=U0&amp;row=3920&amp;col=7&amp;number=0.00456&amp;sourceID=14","0.00456")</f>
        <v>0.00456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HYPERLINK("http://141.218.60.56/~jnz1568/getInfo.php?workbook=14_06.xlsx&amp;sheet=U0&amp;row=3921&amp;col=6&amp;number=4.7&amp;sourceID=14","4.7")</f>
        <v>4.7</v>
      </c>
      <c r="G3921" s="4" t="str">
        <f>HYPERLINK("http://141.218.60.56/~jnz1568/getInfo.php?workbook=14_06.xlsx&amp;sheet=U0&amp;row=3921&amp;col=7&amp;number=0.00454&amp;sourceID=14","0.00454")</f>
        <v>0.00454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HYPERLINK("http://141.218.60.56/~jnz1568/getInfo.php?workbook=14_06.xlsx&amp;sheet=U0&amp;row=3922&amp;col=6&amp;number=4.8&amp;sourceID=14","4.8")</f>
        <v>4.8</v>
      </c>
      <c r="G3922" s="4" t="str">
        <f>HYPERLINK("http://141.218.60.56/~jnz1568/getInfo.php?workbook=14_06.xlsx&amp;sheet=U0&amp;row=3922&amp;col=7&amp;number=0.00452&amp;sourceID=14","0.00452")</f>
        <v>0.00452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HYPERLINK("http://141.218.60.56/~jnz1568/getInfo.php?workbook=14_06.xlsx&amp;sheet=U0&amp;row=3923&amp;col=6&amp;number=4.9&amp;sourceID=14","4.9")</f>
        <v>4.9</v>
      </c>
      <c r="G3923" s="4" t="str">
        <f>HYPERLINK("http://141.218.60.56/~jnz1568/getInfo.php?workbook=14_06.xlsx&amp;sheet=U0&amp;row=3923&amp;col=7&amp;number=0.0045&amp;sourceID=14","0.0045")</f>
        <v>0.0045</v>
      </c>
    </row>
    <row r="3924" spans="1:7">
      <c r="A3924" s="3">
        <v>14</v>
      </c>
      <c r="B3924" s="3">
        <v>6</v>
      </c>
      <c r="C3924" s="3">
        <v>5</v>
      </c>
      <c r="D3924" s="3">
        <v>28</v>
      </c>
      <c r="E3924" s="3">
        <v>1</v>
      </c>
      <c r="F3924" s="4" t="str">
        <f>HYPERLINK("http://141.218.60.56/~jnz1568/getInfo.php?workbook=14_06.xlsx&amp;sheet=U0&amp;row=3924&amp;col=6&amp;number=3&amp;sourceID=14","3")</f>
        <v>3</v>
      </c>
      <c r="G3924" s="4" t="str">
        <f>HYPERLINK("http://141.218.60.56/~jnz1568/getInfo.php?workbook=14_06.xlsx&amp;sheet=U0&amp;row=3924&amp;col=7&amp;number=0.00747&amp;sourceID=14","0.00747")</f>
        <v>0.00747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HYPERLINK("http://141.218.60.56/~jnz1568/getInfo.php?workbook=14_06.xlsx&amp;sheet=U0&amp;row=3925&amp;col=6&amp;number=3.1&amp;sourceID=14","3.1")</f>
        <v>3.1</v>
      </c>
      <c r="G3925" s="4" t="str">
        <f>HYPERLINK("http://141.218.60.56/~jnz1568/getInfo.php?workbook=14_06.xlsx&amp;sheet=U0&amp;row=3925&amp;col=7&amp;number=0.00747&amp;sourceID=14","0.00747")</f>
        <v>0.00747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HYPERLINK("http://141.218.60.56/~jnz1568/getInfo.php?workbook=14_06.xlsx&amp;sheet=U0&amp;row=3926&amp;col=6&amp;number=3.2&amp;sourceID=14","3.2")</f>
        <v>3.2</v>
      </c>
      <c r="G3926" s="4" t="str">
        <f>HYPERLINK("http://141.218.60.56/~jnz1568/getInfo.php?workbook=14_06.xlsx&amp;sheet=U0&amp;row=3926&amp;col=7&amp;number=0.00747&amp;sourceID=14","0.00747")</f>
        <v>0.00747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HYPERLINK("http://141.218.60.56/~jnz1568/getInfo.php?workbook=14_06.xlsx&amp;sheet=U0&amp;row=3927&amp;col=6&amp;number=3.3&amp;sourceID=14","3.3")</f>
        <v>3.3</v>
      </c>
      <c r="G3927" s="4" t="str">
        <f>HYPERLINK("http://141.218.60.56/~jnz1568/getInfo.php?workbook=14_06.xlsx&amp;sheet=U0&amp;row=3927&amp;col=7&amp;number=0.00747&amp;sourceID=14","0.00747")</f>
        <v>0.00747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HYPERLINK("http://141.218.60.56/~jnz1568/getInfo.php?workbook=14_06.xlsx&amp;sheet=U0&amp;row=3928&amp;col=6&amp;number=3.4&amp;sourceID=14","3.4")</f>
        <v>3.4</v>
      </c>
      <c r="G3928" s="4" t="str">
        <f>HYPERLINK("http://141.218.60.56/~jnz1568/getInfo.php?workbook=14_06.xlsx&amp;sheet=U0&amp;row=3928&amp;col=7&amp;number=0.00747&amp;sourceID=14","0.00747")</f>
        <v>0.00747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HYPERLINK("http://141.218.60.56/~jnz1568/getInfo.php?workbook=14_06.xlsx&amp;sheet=U0&amp;row=3929&amp;col=6&amp;number=3.5&amp;sourceID=14","3.5")</f>
        <v>3.5</v>
      </c>
      <c r="G3929" s="4" t="str">
        <f>HYPERLINK("http://141.218.60.56/~jnz1568/getInfo.php?workbook=14_06.xlsx&amp;sheet=U0&amp;row=3929&amp;col=7&amp;number=0.00747&amp;sourceID=14","0.00747")</f>
        <v>0.00747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HYPERLINK("http://141.218.60.56/~jnz1568/getInfo.php?workbook=14_06.xlsx&amp;sheet=U0&amp;row=3930&amp;col=6&amp;number=3.6&amp;sourceID=14","3.6")</f>
        <v>3.6</v>
      </c>
      <c r="G3930" s="4" t="str">
        <f>HYPERLINK("http://141.218.60.56/~jnz1568/getInfo.php?workbook=14_06.xlsx&amp;sheet=U0&amp;row=3930&amp;col=7&amp;number=0.00746&amp;sourceID=14","0.00746")</f>
        <v>0.00746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HYPERLINK("http://141.218.60.56/~jnz1568/getInfo.php?workbook=14_06.xlsx&amp;sheet=U0&amp;row=3931&amp;col=6&amp;number=3.7&amp;sourceID=14","3.7")</f>
        <v>3.7</v>
      </c>
      <c r="G3931" s="4" t="str">
        <f>HYPERLINK("http://141.218.60.56/~jnz1568/getInfo.php?workbook=14_06.xlsx&amp;sheet=U0&amp;row=3931&amp;col=7&amp;number=0.00746&amp;sourceID=14","0.00746")</f>
        <v>0.00746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HYPERLINK("http://141.218.60.56/~jnz1568/getInfo.php?workbook=14_06.xlsx&amp;sheet=U0&amp;row=3932&amp;col=6&amp;number=3.8&amp;sourceID=14","3.8")</f>
        <v>3.8</v>
      </c>
      <c r="G3932" s="4" t="str">
        <f>HYPERLINK("http://141.218.60.56/~jnz1568/getInfo.php?workbook=14_06.xlsx&amp;sheet=U0&amp;row=3932&amp;col=7&amp;number=0.00746&amp;sourceID=14","0.00746")</f>
        <v>0.00746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HYPERLINK("http://141.218.60.56/~jnz1568/getInfo.php?workbook=14_06.xlsx&amp;sheet=U0&amp;row=3933&amp;col=6&amp;number=3.9&amp;sourceID=14","3.9")</f>
        <v>3.9</v>
      </c>
      <c r="G3933" s="4" t="str">
        <f>HYPERLINK("http://141.218.60.56/~jnz1568/getInfo.php?workbook=14_06.xlsx&amp;sheet=U0&amp;row=3933&amp;col=7&amp;number=0.00745&amp;sourceID=14","0.00745")</f>
        <v>0.00745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HYPERLINK("http://141.218.60.56/~jnz1568/getInfo.php?workbook=14_06.xlsx&amp;sheet=U0&amp;row=3934&amp;col=6&amp;number=4&amp;sourceID=14","4")</f>
        <v>4</v>
      </c>
      <c r="G3934" s="4" t="str">
        <f>HYPERLINK("http://141.218.60.56/~jnz1568/getInfo.php?workbook=14_06.xlsx&amp;sheet=U0&amp;row=3934&amp;col=7&amp;number=0.00745&amp;sourceID=14","0.00745")</f>
        <v>0.00745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HYPERLINK("http://141.218.60.56/~jnz1568/getInfo.php?workbook=14_06.xlsx&amp;sheet=U0&amp;row=3935&amp;col=6&amp;number=4.1&amp;sourceID=14","4.1")</f>
        <v>4.1</v>
      </c>
      <c r="G3935" s="4" t="str">
        <f>HYPERLINK("http://141.218.60.56/~jnz1568/getInfo.php?workbook=14_06.xlsx&amp;sheet=U0&amp;row=3935&amp;col=7&amp;number=0.00744&amp;sourceID=14","0.00744")</f>
        <v>0.00744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HYPERLINK("http://141.218.60.56/~jnz1568/getInfo.php?workbook=14_06.xlsx&amp;sheet=U0&amp;row=3936&amp;col=6&amp;number=4.2&amp;sourceID=14","4.2")</f>
        <v>4.2</v>
      </c>
      <c r="G3936" s="4" t="str">
        <f>HYPERLINK("http://141.218.60.56/~jnz1568/getInfo.php?workbook=14_06.xlsx&amp;sheet=U0&amp;row=3936&amp;col=7&amp;number=0.00743&amp;sourceID=14","0.00743")</f>
        <v>0.00743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HYPERLINK("http://141.218.60.56/~jnz1568/getInfo.php?workbook=14_06.xlsx&amp;sheet=U0&amp;row=3937&amp;col=6&amp;number=4.3&amp;sourceID=14","4.3")</f>
        <v>4.3</v>
      </c>
      <c r="G3937" s="4" t="str">
        <f>HYPERLINK("http://141.218.60.56/~jnz1568/getInfo.php?workbook=14_06.xlsx&amp;sheet=U0&amp;row=3937&amp;col=7&amp;number=0.00742&amp;sourceID=14","0.00742")</f>
        <v>0.00742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HYPERLINK("http://141.218.60.56/~jnz1568/getInfo.php?workbook=14_06.xlsx&amp;sheet=U0&amp;row=3938&amp;col=6&amp;number=4.4&amp;sourceID=14","4.4")</f>
        <v>4.4</v>
      </c>
      <c r="G3938" s="4" t="str">
        <f>HYPERLINK("http://141.218.60.56/~jnz1568/getInfo.php?workbook=14_06.xlsx&amp;sheet=U0&amp;row=3938&amp;col=7&amp;number=0.00741&amp;sourceID=14","0.00741")</f>
        <v>0.00741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HYPERLINK("http://141.218.60.56/~jnz1568/getInfo.php?workbook=14_06.xlsx&amp;sheet=U0&amp;row=3939&amp;col=6&amp;number=4.5&amp;sourceID=14","4.5")</f>
        <v>4.5</v>
      </c>
      <c r="G3939" s="4" t="str">
        <f>HYPERLINK("http://141.218.60.56/~jnz1568/getInfo.php?workbook=14_06.xlsx&amp;sheet=U0&amp;row=3939&amp;col=7&amp;number=0.00739&amp;sourceID=14","0.00739")</f>
        <v>0.00739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HYPERLINK("http://141.218.60.56/~jnz1568/getInfo.php?workbook=14_06.xlsx&amp;sheet=U0&amp;row=3940&amp;col=6&amp;number=4.6&amp;sourceID=14","4.6")</f>
        <v>4.6</v>
      </c>
      <c r="G3940" s="4" t="str">
        <f>HYPERLINK("http://141.218.60.56/~jnz1568/getInfo.php?workbook=14_06.xlsx&amp;sheet=U0&amp;row=3940&amp;col=7&amp;number=0.00737&amp;sourceID=14","0.00737")</f>
        <v>0.00737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HYPERLINK("http://141.218.60.56/~jnz1568/getInfo.php?workbook=14_06.xlsx&amp;sheet=U0&amp;row=3941&amp;col=6&amp;number=4.7&amp;sourceID=14","4.7")</f>
        <v>4.7</v>
      </c>
      <c r="G3941" s="4" t="str">
        <f>HYPERLINK("http://141.218.60.56/~jnz1568/getInfo.php?workbook=14_06.xlsx&amp;sheet=U0&amp;row=3941&amp;col=7&amp;number=0.00735&amp;sourceID=14","0.00735")</f>
        <v>0.00735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HYPERLINK("http://141.218.60.56/~jnz1568/getInfo.php?workbook=14_06.xlsx&amp;sheet=U0&amp;row=3942&amp;col=6&amp;number=4.8&amp;sourceID=14","4.8")</f>
        <v>4.8</v>
      </c>
      <c r="G3942" s="4" t="str">
        <f>HYPERLINK("http://141.218.60.56/~jnz1568/getInfo.php?workbook=14_06.xlsx&amp;sheet=U0&amp;row=3942&amp;col=7&amp;number=0.00732&amp;sourceID=14","0.00732")</f>
        <v>0.00732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HYPERLINK("http://141.218.60.56/~jnz1568/getInfo.php?workbook=14_06.xlsx&amp;sheet=U0&amp;row=3943&amp;col=6&amp;number=4.9&amp;sourceID=14","4.9")</f>
        <v>4.9</v>
      </c>
      <c r="G3943" s="4" t="str">
        <f>HYPERLINK("http://141.218.60.56/~jnz1568/getInfo.php?workbook=14_06.xlsx&amp;sheet=U0&amp;row=3943&amp;col=7&amp;number=0.00728&amp;sourceID=14","0.00728")</f>
        <v>0.00728</v>
      </c>
    </row>
    <row r="3944" spans="1:7">
      <c r="A3944" s="3">
        <v>14</v>
      </c>
      <c r="B3944" s="3">
        <v>6</v>
      </c>
      <c r="C3944" s="3">
        <v>5</v>
      </c>
      <c r="D3944" s="3">
        <v>29</v>
      </c>
      <c r="E3944" s="3">
        <v>1</v>
      </c>
      <c r="F3944" s="4" t="str">
        <f>HYPERLINK("http://141.218.60.56/~jnz1568/getInfo.php?workbook=14_06.xlsx&amp;sheet=U0&amp;row=3944&amp;col=6&amp;number=3&amp;sourceID=14","3")</f>
        <v>3</v>
      </c>
      <c r="G3944" s="4" t="str">
        <f>HYPERLINK("http://141.218.60.56/~jnz1568/getInfo.php?workbook=14_06.xlsx&amp;sheet=U0&amp;row=3944&amp;col=7&amp;number=0.00636&amp;sourceID=14","0.00636")</f>
        <v>0.00636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HYPERLINK("http://141.218.60.56/~jnz1568/getInfo.php?workbook=14_06.xlsx&amp;sheet=U0&amp;row=3945&amp;col=6&amp;number=3.1&amp;sourceID=14","3.1")</f>
        <v>3.1</v>
      </c>
      <c r="G3945" s="4" t="str">
        <f>HYPERLINK("http://141.218.60.56/~jnz1568/getInfo.php?workbook=14_06.xlsx&amp;sheet=U0&amp;row=3945&amp;col=7&amp;number=0.00636&amp;sourceID=14","0.00636")</f>
        <v>0.00636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HYPERLINK("http://141.218.60.56/~jnz1568/getInfo.php?workbook=14_06.xlsx&amp;sheet=U0&amp;row=3946&amp;col=6&amp;number=3.2&amp;sourceID=14","3.2")</f>
        <v>3.2</v>
      </c>
      <c r="G3946" s="4" t="str">
        <f>HYPERLINK("http://141.218.60.56/~jnz1568/getInfo.php?workbook=14_06.xlsx&amp;sheet=U0&amp;row=3946&amp;col=7&amp;number=0.00636&amp;sourceID=14","0.00636")</f>
        <v>0.00636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HYPERLINK("http://141.218.60.56/~jnz1568/getInfo.php?workbook=14_06.xlsx&amp;sheet=U0&amp;row=3947&amp;col=6&amp;number=3.3&amp;sourceID=14","3.3")</f>
        <v>3.3</v>
      </c>
      <c r="G3947" s="4" t="str">
        <f>HYPERLINK("http://141.218.60.56/~jnz1568/getInfo.php?workbook=14_06.xlsx&amp;sheet=U0&amp;row=3947&amp;col=7&amp;number=0.00636&amp;sourceID=14","0.00636")</f>
        <v>0.00636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HYPERLINK("http://141.218.60.56/~jnz1568/getInfo.php?workbook=14_06.xlsx&amp;sheet=U0&amp;row=3948&amp;col=6&amp;number=3.4&amp;sourceID=14","3.4")</f>
        <v>3.4</v>
      </c>
      <c r="G3948" s="4" t="str">
        <f>HYPERLINK("http://141.218.60.56/~jnz1568/getInfo.php?workbook=14_06.xlsx&amp;sheet=U0&amp;row=3948&amp;col=7&amp;number=0.00636&amp;sourceID=14","0.00636")</f>
        <v>0.00636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HYPERLINK("http://141.218.60.56/~jnz1568/getInfo.php?workbook=14_06.xlsx&amp;sheet=U0&amp;row=3949&amp;col=6&amp;number=3.5&amp;sourceID=14","3.5")</f>
        <v>3.5</v>
      </c>
      <c r="G3949" s="4" t="str">
        <f>HYPERLINK("http://141.218.60.56/~jnz1568/getInfo.php?workbook=14_06.xlsx&amp;sheet=U0&amp;row=3949&amp;col=7&amp;number=0.00636&amp;sourceID=14","0.00636")</f>
        <v>0.00636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HYPERLINK("http://141.218.60.56/~jnz1568/getInfo.php?workbook=14_06.xlsx&amp;sheet=U0&amp;row=3950&amp;col=6&amp;number=3.6&amp;sourceID=14","3.6")</f>
        <v>3.6</v>
      </c>
      <c r="G3950" s="4" t="str">
        <f>HYPERLINK("http://141.218.60.56/~jnz1568/getInfo.php?workbook=14_06.xlsx&amp;sheet=U0&amp;row=3950&amp;col=7&amp;number=0.00636&amp;sourceID=14","0.00636")</f>
        <v>0.00636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HYPERLINK("http://141.218.60.56/~jnz1568/getInfo.php?workbook=14_06.xlsx&amp;sheet=U0&amp;row=3951&amp;col=6&amp;number=3.7&amp;sourceID=14","3.7")</f>
        <v>3.7</v>
      </c>
      <c r="G3951" s="4" t="str">
        <f>HYPERLINK("http://141.218.60.56/~jnz1568/getInfo.php?workbook=14_06.xlsx&amp;sheet=U0&amp;row=3951&amp;col=7&amp;number=0.00636&amp;sourceID=14","0.00636")</f>
        <v>0.00636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HYPERLINK("http://141.218.60.56/~jnz1568/getInfo.php?workbook=14_06.xlsx&amp;sheet=U0&amp;row=3952&amp;col=6&amp;number=3.8&amp;sourceID=14","3.8")</f>
        <v>3.8</v>
      </c>
      <c r="G3952" s="4" t="str">
        <f>HYPERLINK("http://141.218.60.56/~jnz1568/getInfo.php?workbook=14_06.xlsx&amp;sheet=U0&amp;row=3952&amp;col=7&amp;number=0.00635&amp;sourceID=14","0.00635")</f>
        <v>0.00635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HYPERLINK("http://141.218.60.56/~jnz1568/getInfo.php?workbook=14_06.xlsx&amp;sheet=U0&amp;row=3953&amp;col=6&amp;number=3.9&amp;sourceID=14","3.9")</f>
        <v>3.9</v>
      </c>
      <c r="G3953" s="4" t="str">
        <f>HYPERLINK("http://141.218.60.56/~jnz1568/getInfo.php?workbook=14_06.xlsx&amp;sheet=U0&amp;row=3953&amp;col=7&amp;number=0.00635&amp;sourceID=14","0.00635")</f>
        <v>0.00635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HYPERLINK("http://141.218.60.56/~jnz1568/getInfo.php?workbook=14_06.xlsx&amp;sheet=U0&amp;row=3954&amp;col=6&amp;number=4&amp;sourceID=14","4")</f>
        <v>4</v>
      </c>
      <c r="G3954" s="4" t="str">
        <f>HYPERLINK("http://141.218.60.56/~jnz1568/getInfo.php?workbook=14_06.xlsx&amp;sheet=U0&amp;row=3954&amp;col=7&amp;number=0.00635&amp;sourceID=14","0.00635")</f>
        <v>0.00635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HYPERLINK("http://141.218.60.56/~jnz1568/getInfo.php?workbook=14_06.xlsx&amp;sheet=U0&amp;row=3955&amp;col=6&amp;number=4.1&amp;sourceID=14","4.1")</f>
        <v>4.1</v>
      </c>
      <c r="G3955" s="4" t="str">
        <f>HYPERLINK("http://141.218.60.56/~jnz1568/getInfo.php?workbook=14_06.xlsx&amp;sheet=U0&amp;row=3955&amp;col=7&amp;number=0.00634&amp;sourceID=14","0.00634")</f>
        <v>0.00634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HYPERLINK("http://141.218.60.56/~jnz1568/getInfo.php?workbook=14_06.xlsx&amp;sheet=U0&amp;row=3956&amp;col=6&amp;number=4.2&amp;sourceID=14","4.2")</f>
        <v>4.2</v>
      </c>
      <c r="G3956" s="4" t="str">
        <f>HYPERLINK("http://141.218.60.56/~jnz1568/getInfo.php?workbook=14_06.xlsx&amp;sheet=U0&amp;row=3956&amp;col=7&amp;number=0.00633&amp;sourceID=14","0.00633")</f>
        <v>0.00633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HYPERLINK("http://141.218.60.56/~jnz1568/getInfo.php?workbook=14_06.xlsx&amp;sheet=U0&amp;row=3957&amp;col=6&amp;number=4.3&amp;sourceID=14","4.3")</f>
        <v>4.3</v>
      </c>
      <c r="G3957" s="4" t="str">
        <f>HYPERLINK("http://141.218.60.56/~jnz1568/getInfo.php?workbook=14_06.xlsx&amp;sheet=U0&amp;row=3957&amp;col=7&amp;number=0.00633&amp;sourceID=14","0.00633")</f>
        <v>0.00633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HYPERLINK("http://141.218.60.56/~jnz1568/getInfo.php?workbook=14_06.xlsx&amp;sheet=U0&amp;row=3958&amp;col=6&amp;number=4.4&amp;sourceID=14","4.4")</f>
        <v>4.4</v>
      </c>
      <c r="G3958" s="4" t="str">
        <f>HYPERLINK("http://141.218.60.56/~jnz1568/getInfo.php?workbook=14_06.xlsx&amp;sheet=U0&amp;row=3958&amp;col=7&amp;number=0.00632&amp;sourceID=14","0.00632")</f>
        <v>0.00632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HYPERLINK("http://141.218.60.56/~jnz1568/getInfo.php?workbook=14_06.xlsx&amp;sheet=U0&amp;row=3959&amp;col=6&amp;number=4.5&amp;sourceID=14","4.5")</f>
        <v>4.5</v>
      </c>
      <c r="G3959" s="4" t="str">
        <f>HYPERLINK("http://141.218.60.56/~jnz1568/getInfo.php?workbook=14_06.xlsx&amp;sheet=U0&amp;row=3959&amp;col=7&amp;number=0.0063&amp;sourceID=14","0.0063")</f>
        <v>0.0063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HYPERLINK("http://141.218.60.56/~jnz1568/getInfo.php?workbook=14_06.xlsx&amp;sheet=U0&amp;row=3960&amp;col=6&amp;number=4.6&amp;sourceID=14","4.6")</f>
        <v>4.6</v>
      </c>
      <c r="G3960" s="4" t="str">
        <f>HYPERLINK("http://141.218.60.56/~jnz1568/getInfo.php?workbook=14_06.xlsx&amp;sheet=U0&amp;row=3960&amp;col=7&amp;number=0.00629&amp;sourceID=14","0.00629")</f>
        <v>0.00629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HYPERLINK("http://141.218.60.56/~jnz1568/getInfo.php?workbook=14_06.xlsx&amp;sheet=U0&amp;row=3961&amp;col=6&amp;number=4.7&amp;sourceID=14","4.7")</f>
        <v>4.7</v>
      </c>
      <c r="G3961" s="4" t="str">
        <f>HYPERLINK("http://141.218.60.56/~jnz1568/getInfo.php?workbook=14_06.xlsx&amp;sheet=U0&amp;row=3961&amp;col=7&amp;number=0.00627&amp;sourceID=14","0.00627")</f>
        <v>0.00627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HYPERLINK("http://141.218.60.56/~jnz1568/getInfo.php?workbook=14_06.xlsx&amp;sheet=U0&amp;row=3962&amp;col=6&amp;number=4.8&amp;sourceID=14","4.8")</f>
        <v>4.8</v>
      </c>
      <c r="G3962" s="4" t="str">
        <f>HYPERLINK("http://141.218.60.56/~jnz1568/getInfo.php?workbook=14_06.xlsx&amp;sheet=U0&amp;row=3962&amp;col=7&amp;number=0.00624&amp;sourceID=14","0.00624")</f>
        <v>0.00624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HYPERLINK("http://141.218.60.56/~jnz1568/getInfo.php?workbook=14_06.xlsx&amp;sheet=U0&amp;row=3963&amp;col=6&amp;number=4.9&amp;sourceID=14","4.9")</f>
        <v>4.9</v>
      </c>
      <c r="G3963" s="4" t="str">
        <f>HYPERLINK("http://141.218.60.56/~jnz1568/getInfo.php?workbook=14_06.xlsx&amp;sheet=U0&amp;row=3963&amp;col=7&amp;number=0.00621&amp;sourceID=14","0.00621")</f>
        <v>0.00621</v>
      </c>
    </row>
    <row r="3964" spans="1:7">
      <c r="A3964" s="3">
        <v>14</v>
      </c>
      <c r="B3964" s="3">
        <v>6</v>
      </c>
      <c r="C3964" s="3">
        <v>5</v>
      </c>
      <c r="D3964" s="3">
        <v>30</v>
      </c>
      <c r="E3964" s="3">
        <v>1</v>
      </c>
      <c r="F3964" s="4" t="str">
        <f>HYPERLINK("http://141.218.60.56/~jnz1568/getInfo.php?workbook=14_06.xlsx&amp;sheet=U0&amp;row=3964&amp;col=6&amp;number=3&amp;sourceID=14","3")</f>
        <v>3</v>
      </c>
      <c r="G3964" s="4" t="str">
        <f>HYPERLINK("http://141.218.60.56/~jnz1568/getInfo.php?workbook=14_06.xlsx&amp;sheet=U0&amp;row=3964&amp;col=7&amp;number=0.000609&amp;sourceID=14","0.000609")</f>
        <v>0.000609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HYPERLINK("http://141.218.60.56/~jnz1568/getInfo.php?workbook=14_06.xlsx&amp;sheet=U0&amp;row=3965&amp;col=6&amp;number=3.1&amp;sourceID=14","3.1")</f>
        <v>3.1</v>
      </c>
      <c r="G3965" s="4" t="str">
        <f>HYPERLINK("http://141.218.60.56/~jnz1568/getInfo.php?workbook=14_06.xlsx&amp;sheet=U0&amp;row=3965&amp;col=7&amp;number=0.000609&amp;sourceID=14","0.000609")</f>
        <v>0.000609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HYPERLINK("http://141.218.60.56/~jnz1568/getInfo.php?workbook=14_06.xlsx&amp;sheet=U0&amp;row=3966&amp;col=6&amp;number=3.2&amp;sourceID=14","3.2")</f>
        <v>3.2</v>
      </c>
      <c r="G3966" s="4" t="str">
        <f>HYPERLINK("http://141.218.60.56/~jnz1568/getInfo.php?workbook=14_06.xlsx&amp;sheet=U0&amp;row=3966&amp;col=7&amp;number=0.000609&amp;sourceID=14","0.000609")</f>
        <v>0.000609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HYPERLINK("http://141.218.60.56/~jnz1568/getInfo.php?workbook=14_06.xlsx&amp;sheet=U0&amp;row=3967&amp;col=6&amp;number=3.3&amp;sourceID=14","3.3")</f>
        <v>3.3</v>
      </c>
      <c r="G3967" s="4" t="str">
        <f>HYPERLINK("http://141.218.60.56/~jnz1568/getInfo.php?workbook=14_06.xlsx&amp;sheet=U0&amp;row=3967&amp;col=7&amp;number=0.000609&amp;sourceID=14","0.000609")</f>
        <v>0.000609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HYPERLINK("http://141.218.60.56/~jnz1568/getInfo.php?workbook=14_06.xlsx&amp;sheet=U0&amp;row=3968&amp;col=6&amp;number=3.4&amp;sourceID=14","3.4")</f>
        <v>3.4</v>
      </c>
      <c r="G3968" s="4" t="str">
        <f>HYPERLINK("http://141.218.60.56/~jnz1568/getInfo.php?workbook=14_06.xlsx&amp;sheet=U0&amp;row=3968&amp;col=7&amp;number=0.000609&amp;sourceID=14","0.000609")</f>
        <v>0.000609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HYPERLINK("http://141.218.60.56/~jnz1568/getInfo.php?workbook=14_06.xlsx&amp;sheet=U0&amp;row=3969&amp;col=6&amp;number=3.5&amp;sourceID=14","3.5")</f>
        <v>3.5</v>
      </c>
      <c r="G3969" s="4" t="str">
        <f>HYPERLINK("http://141.218.60.56/~jnz1568/getInfo.php?workbook=14_06.xlsx&amp;sheet=U0&amp;row=3969&amp;col=7&amp;number=0.000609&amp;sourceID=14","0.000609")</f>
        <v>0.000609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HYPERLINK("http://141.218.60.56/~jnz1568/getInfo.php?workbook=14_06.xlsx&amp;sheet=U0&amp;row=3970&amp;col=6&amp;number=3.6&amp;sourceID=14","3.6")</f>
        <v>3.6</v>
      </c>
      <c r="G3970" s="4" t="str">
        <f>HYPERLINK("http://141.218.60.56/~jnz1568/getInfo.php?workbook=14_06.xlsx&amp;sheet=U0&amp;row=3970&amp;col=7&amp;number=0.000608&amp;sourceID=14","0.000608")</f>
        <v>0.000608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HYPERLINK("http://141.218.60.56/~jnz1568/getInfo.php?workbook=14_06.xlsx&amp;sheet=U0&amp;row=3971&amp;col=6&amp;number=3.7&amp;sourceID=14","3.7")</f>
        <v>3.7</v>
      </c>
      <c r="G3971" s="4" t="str">
        <f>HYPERLINK("http://141.218.60.56/~jnz1568/getInfo.php?workbook=14_06.xlsx&amp;sheet=U0&amp;row=3971&amp;col=7&amp;number=0.000608&amp;sourceID=14","0.000608")</f>
        <v>0.000608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HYPERLINK("http://141.218.60.56/~jnz1568/getInfo.php?workbook=14_06.xlsx&amp;sheet=U0&amp;row=3972&amp;col=6&amp;number=3.8&amp;sourceID=14","3.8")</f>
        <v>3.8</v>
      </c>
      <c r="G3972" s="4" t="str">
        <f>HYPERLINK("http://141.218.60.56/~jnz1568/getInfo.php?workbook=14_06.xlsx&amp;sheet=U0&amp;row=3972&amp;col=7&amp;number=0.000608&amp;sourceID=14","0.000608")</f>
        <v>0.000608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HYPERLINK("http://141.218.60.56/~jnz1568/getInfo.php?workbook=14_06.xlsx&amp;sheet=U0&amp;row=3973&amp;col=6&amp;number=3.9&amp;sourceID=14","3.9")</f>
        <v>3.9</v>
      </c>
      <c r="G3973" s="4" t="str">
        <f>HYPERLINK("http://141.218.60.56/~jnz1568/getInfo.php?workbook=14_06.xlsx&amp;sheet=U0&amp;row=3973&amp;col=7&amp;number=0.000608&amp;sourceID=14","0.000608")</f>
        <v>0.000608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HYPERLINK("http://141.218.60.56/~jnz1568/getInfo.php?workbook=14_06.xlsx&amp;sheet=U0&amp;row=3974&amp;col=6&amp;number=4&amp;sourceID=14","4")</f>
        <v>4</v>
      </c>
      <c r="G3974" s="4" t="str">
        <f>HYPERLINK("http://141.218.60.56/~jnz1568/getInfo.php?workbook=14_06.xlsx&amp;sheet=U0&amp;row=3974&amp;col=7&amp;number=0.000607&amp;sourceID=14","0.000607")</f>
        <v>0.000607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HYPERLINK("http://141.218.60.56/~jnz1568/getInfo.php?workbook=14_06.xlsx&amp;sheet=U0&amp;row=3975&amp;col=6&amp;number=4.1&amp;sourceID=14","4.1")</f>
        <v>4.1</v>
      </c>
      <c r="G3975" s="4" t="str">
        <f>HYPERLINK("http://141.218.60.56/~jnz1568/getInfo.php?workbook=14_06.xlsx&amp;sheet=U0&amp;row=3975&amp;col=7&amp;number=0.000607&amp;sourceID=14","0.000607")</f>
        <v>0.000607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HYPERLINK("http://141.218.60.56/~jnz1568/getInfo.php?workbook=14_06.xlsx&amp;sheet=U0&amp;row=3976&amp;col=6&amp;number=4.2&amp;sourceID=14","4.2")</f>
        <v>4.2</v>
      </c>
      <c r="G3976" s="4" t="str">
        <f>HYPERLINK("http://141.218.60.56/~jnz1568/getInfo.php?workbook=14_06.xlsx&amp;sheet=U0&amp;row=3976&amp;col=7&amp;number=0.000606&amp;sourceID=14","0.000606")</f>
        <v>0.000606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HYPERLINK("http://141.218.60.56/~jnz1568/getInfo.php?workbook=14_06.xlsx&amp;sheet=U0&amp;row=3977&amp;col=6&amp;number=4.3&amp;sourceID=14","4.3")</f>
        <v>4.3</v>
      </c>
      <c r="G3977" s="4" t="str">
        <f>HYPERLINK("http://141.218.60.56/~jnz1568/getInfo.php?workbook=14_06.xlsx&amp;sheet=U0&amp;row=3977&amp;col=7&amp;number=0.000605&amp;sourceID=14","0.000605")</f>
        <v>0.000605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HYPERLINK("http://141.218.60.56/~jnz1568/getInfo.php?workbook=14_06.xlsx&amp;sheet=U0&amp;row=3978&amp;col=6&amp;number=4.4&amp;sourceID=14","4.4")</f>
        <v>4.4</v>
      </c>
      <c r="G3978" s="4" t="str">
        <f>HYPERLINK("http://141.218.60.56/~jnz1568/getInfo.php?workbook=14_06.xlsx&amp;sheet=U0&amp;row=3978&amp;col=7&amp;number=0.000604&amp;sourceID=14","0.000604")</f>
        <v>0.000604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HYPERLINK("http://141.218.60.56/~jnz1568/getInfo.php?workbook=14_06.xlsx&amp;sheet=U0&amp;row=3979&amp;col=6&amp;number=4.5&amp;sourceID=14","4.5")</f>
        <v>4.5</v>
      </c>
      <c r="G3979" s="4" t="str">
        <f>HYPERLINK("http://141.218.60.56/~jnz1568/getInfo.php?workbook=14_06.xlsx&amp;sheet=U0&amp;row=3979&amp;col=7&amp;number=0.000603&amp;sourceID=14","0.000603")</f>
        <v>0.000603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HYPERLINK("http://141.218.60.56/~jnz1568/getInfo.php?workbook=14_06.xlsx&amp;sheet=U0&amp;row=3980&amp;col=6&amp;number=4.6&amp;sourceID=14","4.6")</f>
        <v>4.6</v>
      </c>
      <c r="G3980" s="4" t="str">
        <f>HYPERLINK("http://141.218.60.56/~jnz1568/getInfo.php?workbook=14_06.xlsx&amp;sheet=U0&amp;row=3980&amp;col=7&amp;number=0.000601&amp;sourceID=14","0.000601")</f>
        <v>0.000601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HYPERLINK("http://141.218.60.56/~jnz1568/getInfo.php?workbook=14_06.xlsx&amp;sheet=U0&amp;row=3981&amp;col=6&amp;number=4.7&amp;sourceID=14","4.7")</f>
        <v>4.7</v>
      </c>
      <c r="G3981" s="4" t="str">
        <f>HYPERLINK("http://141.218.60.56/~jnz1568/getInfo.php?workbook=14_06.xlsx&amp;sheet=U0&amp;row=3981&amp;col=7&amp;number=0.000599&amp;sourceID=14","0.000599")</f>
        <v>0.000599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HYPERLINK("http://141.218.60.56/~jnz1568/getInfo.php?workbook=14_06.xlsx&amp;sheet=U0&amp;row=3982&amp;col=6&amp;number=4.8&amp;sourceID=14","4.8")</f>
        <v>4.8</v>
      </c>
      <c r="G3982" s="4" t="str">
        <f>HYPERLINK("http://141.218.60.56/~jnz1568/getInfo.php?workbook=14_06.xlsx&amp;sheet=U0&amp;row=3982&amp;col=7&amp;number=0.000596&amp;sourceID=14","0.000596")</f>
        <v>0.000596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HYPERLINK("http://141.218.60.56/~jnz1568/getInfo.php?workbook=14_06.xlsx&amp;sheet=U0&amp;row=3983&amp;col=6&amp;number=4.9&amp;sourceID=14","4.9")</f>
        <v>4.9</v>
      </c>
      <c r="G3983" s="4" t="str">
        <f>HYPERLINK("http://141.218.60.56/~jnz1568/getInfo.php?workbook=14_06.xlsx&amp;sheet=U0&amp;row=3983&amp;col=7&amp;number=0.000593&amp;sourceID=14","0.000593")</f>
        <v>0.000593</v>
      </c>
    </row>
    <row r="3984" spans="1:7">
      <c r="A3984" s="3">
        <v>14</v>
      </c>
      <c r="B3984" s="3">
        <v>6</v>
      </c>
      <c r="C3984" s="3">
        <v>5</v>
      </c>
      <c r="D3984" s="3">
        <v>31</v>
      </c>
      <c r="E3984" s="3">
        <v>1</v>
      </c>
      <c r="F3984" s="4" t="str">
        <f>HYPERLINK("http://141.218.60.56/~jnz1568/getInfo.php?workbook=14_06.xlsx&amp;sheet=U0&amp;row=3984&amp;col=6&amp;number=3&amp;sourceID=14","3")</f>
        <v>3</v>
      </c>
      <c r="G3984" s="4" t="str">
        <f>HYPERLINK("http://141.218.60.56/~jnz1568/getInfo.php?workbook=14_06.xlsx&amp;sheet=U0&amp;row=3984&amp;col=7&amp;number=0.00209&amp;sourceID=14","0.00209")</f>
        <v>0.00209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HYPERLINK("http://141.218.60.56/~jnz1568/getInfo.php?workbook=14_06.xlsx&amp;sheet=U0&amp;row=3985&amp;col=6&amp;number=3.1&amp;sourceID=14","3.1")</f>
        <v>3.1</v>
      </c>
      <c r="G3985" s="4" t="str">
        <f>HYPERLINK("http://141.218.60.56/~jnz1568/getInfo.php?workbook=14_06.xlsx&amp;sheet=U0&amp;row=3985&amp;col=7&amp;number=0.00209&amp;sourceID=14","0.00209")</f>
        <v>0.00209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HYPERLINK("http://141.218.60.56/~jnz1568/getInfo.php?workbook=14_06.xlsx&amp;sheet=U0&amp;row=3986&amp;col=6&amp;number=3.2&amp;sourceID=14","3.2")</f>
        <v>3.2</v>
      </c>
      <c r="G3986" s="4" t="str">
        <f>HYPERLINK("http://141.218.60.56/~jnz1568/getInfo.php?workbook=14_06.xlsx&amp;sheet=U0&amp;row=3986&amp;col=7&amp;number=0.00209&amp;sourceID=14","0.00209")</f>
        <v>0.00209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HYPERLINK("http://141.218.60.56/~jnz1568/getInfo.php?workbook=14_06.xlsx&amp;sheet=U0&amp;row=3987&amp;col=6&amp;number=3.3&amp;sourceID=14","3.3")</f>
        <v>3.3</v>
      </c>
      <c r="G3987" s="4" t="str">
        <f>HYPERLINK("http://141.218.60.56/~jnz1568/getInfo.php?workbook=14_06.xlsx&amp;sheet=U0&amp;row=3987&amp;col=7&amp;number=0.00209&amp;sourceID=14","0.00209")</f>
        <v>0.00209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HYPERLINK("http://141.218.60.56/~jnz1568/getInfo.php?workbook=14_06.xlsx&amp;sheet=U0&amp;row=3988&amp;col=6&amp;number=3.4&amp;sourceID=14","3.4")</f>
        <v>3.4</v>
      </c>
      <c r="G3988" s="4" t="str">
        <f>HYPERLINK("http://141.218.60.56/~jnz1568/getInfo.php?workbook=14_06.xlsx&amp;sheet=U0&amp;row=3988&amp;col=7&amp;number=0.00209&amp;sourceID=14","0.00209")</f>
        <v>0.00209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HYPERLINK("http://141.218.60.56/~jnz1568/getInfo.php?workbook=14_06.xlsx&amp;sheet=U0&amp;row=3989&amp;col=6&amp;number=3.5&amp;sourceID=14","3.5")</f>
        <v>3.5</v>
      </c>
      <c r="G3989" s="4" t="str">
        <f>HYPERLINK("http://141.218.60.56/~jnz1568/getInfo.php?workbook=14_06.xlsx&amp;sheet=U0&amp;row=3989&amp;col=7&amp;number=0.00209&amp;sourceID=14","0.00209")</f>
        <v>0.00209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HYPERLINK("http://141.218.60.56/~jnz1568/getInfo.php?workbook=14_06.xlsx&amp;sheet=U0&amp;row=3990&amp;col=6&amp;number=3.6&amp;sourceID=14","3.6")</f>
        <v>3.6</v>
      </c>
      <c r="G3990" s="4" t="str">
        <f>HYPERLINK("http://141.218.60.56/~jnz1568/getInfo.php?workbook=14_06.xlsx&amp;sheet=U0&amp;row=3990&amp;col=7&amp;number=0.00209&amp;sourceID=14","0.00209")</f>
        <v>0.00209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HYPERLINK("http://141.218.60.56/~jnz1568/getInfo.php?workbook=14_06.xlsx&amp;sheet=U0&amp;row=3991&amp;col=6&amp;number=3.7&amp;sourceID=14","3.7")</f>
        <v>3.7</v>
      </c>
      <c r="G3991" s="4" t="str">
        <f>HYPERLINK("http://141.218.60.56/~jnz1568/getInfo.php?workbook=14_06.xlsx&amp;sheet=U0&amp;row=3991&amp;col=7&amp;number=0.00209&amp;sourceID=14","0.00209")</f>
        <v>0.00209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HYPERLINK("http://141.218.60.56/~jnz1568/getInfo.php?workbook=14_06.xlsx&amp;sheet=U0&amp;row=3992&amp;col=6&amp;number=3.8&amp;sourceID=14","3.8")</f>
        <v>3.8</v>
      </c>
      <c r="G3992" s="4" t="str">
        <f>HYPERLINK("http://141.218.60.56/~jnz1568/getInfo.php?workbook=14_06.xlsx&amp;sheet=U0&amp;row=3992&amp;col=7&amp;number=0.00209&amp;sourceID=14","0.00209")</f>
        <v>0.00209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HYPERLINK("http://141.218.60.56/~jnz1568/getInfo.php?workbook=14_06.xlsx&amp;sheet=U0&amp;row=3993&amp;col=6&amp;number=3.9&amp;sourceID=14","3.9")</f>
        <v>3.9</v>
      </c>
      <c r="G3993" s="4" t="str">
        <f>HYPERLINK("http://141.218.60.56/~jnz1568/getInfo.php?workbook=14_06.xlsx&amp;sheet=U0&amp;row=3993&amp;col=7&amp;number=0.00209&amp;sourceID=14","0.00209")</f>
        <v>0.00209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HYPERLINK("http://141.218.60.56/~jnz1568/getInfo.php?workbook=14_06.xlsx&amp;sheet=U0&amp;row=3994&amp;col=6&amp;number=4&amp;sourceID=14","4")</f>
        <v>4</v>
      </c>
      <c r="G3994" s="4" t="str">
        <f>HYPERLINK("http://141.218.60.56/~jnz1568/getInfo.php?workbook=14_06.xlsx&amp;sheet=U0&amp;row=3994&amp;col=7&amp;number=0.00209&amp;sourceID=14","0.00209")</f>
        <v>0.00209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HYPERLINK("http://141.218.60.56/~jnz1568/getInfo.php?workbook=14_06.xlsx&amp;sheet=U0&amp;row=3995&amp;col=6&amp;number=4.1&amp;sourceID=14","4.1")</f>
        <v>4.1</v>
      </c>
      <c r="G3995" s="4" t="str">
        <f>HYPERLINK("http://141.218.60.56/~jnz1568/getInfo.php?workbook=14_06.xlsx&amp;sheet=U0&amp;row=3995&amp;col=7&amp;number=0.00208&amp;sourceID=14","0.00208")</f>
        <v>0.00208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HYPERLINK("http://141.218.60.56/~jnz1568/getInfo.php?workbook=14_06.xlsx&amp;sheet=U0&amp;row=3996&amp;col=6&amp;number=4.2&amp;sourceID=14","4.2")</f>
        <v>4.2</v>
      </c>
      <c r="G3996" s="4" t="str">
        <f>HYPERLINK("http://141.218.60.56/~jnz1568/getInfo.php?workbook=14_06.xlsx&amp;sheet=U0&amp;row=3996&amp;col=7&amp;number=0.00208&amp;sourceID=14","0.00208")</f>
        <v>0.00208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HYPERLINK("http://141.218.60.56/~jnz1568/getInfo.php?workbook=14_06.xlsx&amp;sheet=U0&amp;row=3997&amp;col=6&amp;number=4.3&amp;sourceID=14","4.3")</f>
        <v>4.3</v>
      </c>
      <c r="G3997" s="4" t="str">
        <f>HYPERLINK("http://141.218.60.56/~jnz1568/getInfo.php?workbook=14_06.xlsx&amp;sheet=U0&amp;row=3997&amp;col=7&amp;number=0.00208&amp;sourceID=14","0.00208")</f>
        <v>0.00208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HYPERLINK("http://141.218.60.56/~jnz1568/getInfo.php?workbook=14_06.xlsx&amp;sheet=U0&amp;row=3998&amp;col=6&amp;number=4.4&amp;sourceID=14","4.4")</f>
        <v>4.4</v>
      </c>
      <c r="G3998" s="4" t="str">
        <f>HYPERLINK("http://141.218.60.56/~jnz1568/getInfo.php?workbook=14_06.xlsx&amp;sheet=U0&amp;row=3998&amp;col=7&amp;number=0.00208&amp;sourceID=14","0.00208")</f>
        <v>0.00208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HYPERLINK("http://141.218.60.56/~jnz1568/getInfo.php?workbook=14_06.xlsx&amp;sheet=U0&amp;row=3999&amp;col=6&amp;number=4.5&amp;sourceID=14","4.5")</f>
        <v>4.5</v>
      </c>
      <c r="G3999" s="4" t="str">
        <f>HYPERLINK("http://141.218.60.56/~jnz1568/getInfo.php?workbook=14_06.xlsx&amp;sheet=U0&amp;row=3999&amp;col=7&amp;number=0.00207&amp;sourceID=14","0.00207")</f>
        <v>0.00207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HYPERLINK("http://141.218.60.56/~jnz1568/getInfo.php?workbook=14_06.xlsx&amp;sheet=U0&amp;row=4000&amp;col=6&amp;number=4.6&amp;sourceID=14","4.6")</f>
        <v>4.6</v>
      </c>
      <c r="G4000" s="4" t="str">
        <f>HYPERLINK("http://141.218.60.56/~jnz1568/getInfo.php?workbook=14_06.xlsx&amp;sheet=U0&amp;row=4000&amp;col=7&amp;number=0.00206&amp;sourceID=14","0.00206")</f>
        <v>0.00206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HYPERLINK("http://141.218.60.56/~jnz1568/getInfo.php?workbook=14_06.xlsx&amp;sheet=U0&amp;row=4001&amp;col=6&amp;number=4.7&amp;sourceID=14","4.7")</f>
        <v>4.7</v>
      </c>
      <c r="G4001" s="4" t="str">
        <f>HYPERLINK("http://141.218.60.56/~jnz1568/getInfo.php?workbook=14_06.xlsx&amp;sheet=U0&amp;row=4001&amp;col=7&amp;number=0.00206&amp;sourceID=14","0.00206")</f>
        <v>0.00206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HYPERLINK("http://141.218.60.56/~jnz1568/getInfo.php?workbook=14_06.xlsx&amp;sheet=U0&amp;row=4002&amp;col=6&amp;number=4.8&amp;sourceID=14","4.8")</f>
        <v>4.8</v>
      </c>
      <c r="G4002" s="4" t="str">
        <f>HYPERLINK("http://141.218.60.56/~jnz1568/getInfo.php?workbook=14_06.xlsx&amp;sheet=U0&amp;row=4002&amp;col=7&amp;number=0.00205&amp;sourceID=14","0.00205")</f>
        <v>0.00205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HYPERLINK("http://141.218.60.56/~jnz1568/getInfo.php?workbook=14_06.xlsx&amp;sheet=U0&amp;row=4003&amp;col=6&amp;number=4.9&amp;sourceID=14","4.9")</f>
        <v>4.9</v>
      </c>
      <c r="G4003" s="4" t="str">
        <f>HYPERLINK("http://141.218.60.56/~jnz1568/getInfo.php?workbook=14_06.xlsx&amp;sheet=U0&amp;row=4003&amp;col=7&amp;number=0.00204&amp;sourceID=14","0.00204")</f>
        <v>0.00204</v>
      </c>
    </row>
    <row r="4004" spans="1:7">
      <c r="A4004" s="3">
        <v>14</v>
      </c>
      <c r="B4004" s="3">
        <v>6</v>
      </c>
      <c r="C4004" s="3">
        <v>5</v>
      </c>
      <c r="D4004" s="3">
        <v>32</v>
      </c>
      <c r="E4004" s="3">
        <v>1</v>
      </c>
      <c r="F4004" s="4" t="str">
        <f>HYPERLINK("http://141.218.60.56/~jnz1568/getInfo.php?workbook=14_06.xlsx&amp;sheet=U0&amp;row=4004&amp;col=6&amp;number=3&amp;sourceID=14","3")</f>
        <v>3</v>
      </c>
      <c r="G4004" s="4" t="str">
        <f>HYPERLINK("http://141.218.60.56/~jnz1568/getInfo.php?workbook=14_06.xlsx&amp;sheet=U0&amp;row=4004&amp;col=7&amp;number=0.00346&amp;sourceID=14","0.00346")</f>
        <v>0.00346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HYPERLINK("http://141.218.60.56/~jnz1568/getInfo.php?workbook=14_06.xlsx&amp;sheet=U0&amp;row=4005&amp;col=6&amp;number=3.1&amp;sourceID=14","3.1")</f>
        <v>3.1</v>
      </c>
      <c r="G4005" s="4" t="str">
        <f>HYPERLINK("http://141.218.60.56/~jnz1568/getInfo.php?workbook=14_06.xlsx&amp;sheet=U0&amp;row=4005&amp;col=7&amp;number=0.00346&amp;sourceID=14","0.00346")</f>
        <v>0.00346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HYPERLINK("http://141.218.60.56/~jnz1568/getInfo.php?workbook=14_06.xlsx&amp;sheet=U0&amp;row=4006&amp;col=6&amp;number=3.2&amp;sourceID=14","3.2")</f>
        <v>3.2</v>
      </c>
      <c r="G4006" s="4" t="str">
        <f>HYPERLINK("http://141.218.60.56/~jnz1568/getInfo.php?workbook=14_06.xlsx&amp;sheet=U0&amp;row=4006&amp;col=7&amp;number=0.00346&amp;sourceID=14","0.00346")</f>
        <v>0.00346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HYPERLINK("http://141.218.60.56/~jnz1568/getInfo.php?workbook=14_06.xlsx&amp;sheet=U0&amp;row=4007&amp;col=6&amp;number=3.3&amp;sourceID=14","3.3")</f>
        <v>3.3</v>
      </c>
      <c r="G4007" s="4" t="str">
        <f>HYPERLINK("http://141.218.60.56/~jnz1568/getInfo.php?workbook=14_06.xlsx&amp;sheet=U0&amp;row=4007&amp;col=7&amp;number=0.00346&amp;sourceID=14","0.00346")</f>
        <v>0.00346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HYPERLINK("http://141.218.60.56/~jnz1568/getInfo.php?workbook=14_06.xlsx&amp;sheet=U0&amp;row=4008&amp;col=6&amp;number=3.4&amp;sourceID=14","3.4")</f>
        <v>3.4</v>
      </c>
      <c r="G4008" s="4" t="str">
        <f>HYPERLINK("http://141.218.60.56/~jnz1568/getInfo.php?workbook=14_06.xlsx&amp;sheet=U0&amp;row=4008&amp;col=7&amp;number=0.00346&amp;sourceID=14","0.00346")</f>
        <v>0.00346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HYPERLINK("http://141.218.60.56/~jnz1568/getInfo.php?workbook=14_06.xlsx&amp;sheet=U0&amp;row=4009&amp;col=6&amp;number=3.5&amp;sourceID=14","3.5")</f>
        <v>3.5</v>
      </c>
      <c r="G4009" s="4" t="str">
        <f>HYPERLINK("http://141.218.60.56/~jnz1568/getInfo.php?workbook=14_06.xlsx&amp;sheet=U0&amp;row=4009&amp;col=7&amp;number=0.00346&amp;sourceID=14","0.00346")</f>
        <v>0.00346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HYPERLINK("http://141.218.60.56/~jnz1568/getInfo.php?workbook=14_06.xlsx&amp;sheet=U0&amp;row=4010&amp;col=6&amp;number=3.6&amp;sourceID=14","3.6")</f>
        <v>3.6</v>
      </c>
      <c r="G4010" s="4" t="str">
        <f>HYPERLINK("http://141.218.60.56/~jnz1568/getInfo.php?workbook=14_06.xlsx&amp;sheet=U0&amp;row=4010&amp;col=7&amp;number=0.00346&amp;sourceID=14","0.00346")</f>
        <v>0.00346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HYPERLINK("http://141.218.60.56/~jnz1568/getInfo.php?workbook=14_06.xlsx&amp;sheet=U0&amp;row=4011&amp;col=6&amp;number=3.7&amp;sourceID=14","3.7")</f>
        <v>3.7</v>
      </c>
      <c r="G4011" s="4" t="str">
        <f>HYPERLINK("http://141.218.60.56/~jnz1568/getInfo.php?workbook=14_06.xlsx&amp;sheet=U0&amp;row=4011&amp;col=7&amp;number=0.00345&amp;sourceID=14","0.00345")</f>
        <v>0.00345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HYPERLINK("http://141.218.60.56/~jnz1568/getInfo.php?workbook=14_06.xlsx&amp;sheet=U0&amp;row=4012&amp;col=6&amp;number=3.8&amp;sourceID=14","3.8")</f>
        <v>3.8</v>
      </c>
      <c r="G4012" s="4" t="str">
        <f>HYPERLINK("http://141.218.60.56/~jnz1568/getInfo.php?workbook=14_06.xlsx&amp;sheet=U0&amp;row=4012&amp;col=7&amp;number=0.00345&amp;sourceID=14","0.00345")</f>
        <v>0.00345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HYPERLINK("http://141.218.60.56/~jnz1568/getInfo.php?workbook=14_06.xlsx&amp;sheet=U0&amp;row=4013&amp;col=6&amp;number=3.9&amp;sourceID=14","3.9")</f>
        <v>3.9</v>
      </c>
      <c r="G4013" s="4" t="str">
        <f>HYPERLINK("http://141.218.60.56/~jnz1568/getInfo.php?workbook=14_06.xlsx&amp;sheet=U0&amp;row=4013&amp;col=7&amp;number=0.00345&amp;sourceID=14","0.00345")</f>
        <v>0.00345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HYPERLINK("http://141.218.60.56/~jnz1568/getInfo.php?workbook=14_06.xlsx&amp;sheet=U0&amp;row=4014&amp;col=6&amp;number=4&amp;sourceID=14","4")</f>
        <v>4</v>
      </c>
      <c r="G4014" s="4" t="str">
        <f>HYPERLINK("http://141.218.60.56/~jnz1568/getInfo.php?workbook=14_06.xlsx&amp;sheet=U0&amp;row=4014&amp;col=7&amp;number=0.00345&amp;sourceID=14","0.00345")</f>
        <v>0.00345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HYPERLINK("http://141.218.60.56/~jnz1568/getInfo.php?workbook=14_06.xlsx&amp;sheet=U0&amp;row=4015&amp;col=6&amp;number=4.1&amp;sourceID=14","4.1")</f>
        <v>4.1</v>
      </c>
      <c r="G4015" s="4" t="str">
        <f>HYPERLINK("http://141.218.60.56/~jnz1568/getInfo.php?workbook=14_06.xlsx&amp;sheet=U0&amp;row=4015&amp;col=7&amp;number=0.00344&amp;sourceID=14","0.00344")</f>
        <v>0.00344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HYPERLINK("http://141.218.60.56/~jnz1568/getInfo.php?workbook=14_06.xlsx&amp;sheet=U0&amp;row=4016&amp;col=6&amp;number=4.2&amp;sourceID=14","4.2")</f>
        <v>4.2</v>
      </c>
      <c r="G4016" s="4" t="str">
        <f>HYPERLINK("http://141.218.60.56/~jnz1568/getInfo.php?workbook=14_06.xlsx&amp;sheet=U0&amp;row=4016&amp;col=7&amp;number=0.00344&amp;sourceID=14","0.00344")</f>
        <v>0.00344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HYPERLINK("http://141.218.60.56/~jnz1568/getInfo.php?workbook=14_06.xlsx&amp;sheet=U0&amp;row=4017&amp;col=6&amp;number=4.3&amp;sourceID=14","4.3")</f>
        <v>4.3</v>
      </c>
      <c r="G4017" s="4" t="str">
        <f>HYPERLINK("http://141.218.60.56/~jnz1568/getInfo.php?workbook=14_06.xlsx&amp;sheet=U0&amp;row=4017&amp;col=7&amp;number=0.00344&amp;sourceID=14","0.00344")</f>
        <v>0.00344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HYPERLINK("http://141.218.60.56/~jnz1568/getInfo.php?workbook=14_06.xlsx&amp;sheet=U0&amp;row=4018&amp;col=6&amp;number=4.4&amp;sourceID=14","4.4")</f>
        <v>4.4</v>
      </c>
      <c r="G4018" s="4" t="str">
        <f>HYPERLINK("http://141.218.60.56/~jnz1568/getInfo.php?workbook=14_06.xlsx&amp;sheet=U0&amp;row=4018&amp;col=7&amp;number=0.00343&amp;sourceID=14","0.00343")</f>
        <v>0.00343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HYPERLINK("http://141.218.60.56/~jnz1568/getInfo.php?workbook=14_06.xlsx&amp;sheet=U0&amp;row=4019&amp;col=6&amp;number=4.5&amp;sourceID=14","4.5")</f>
        <v>4.5</v>
      </c>
      <c r="G4019" s="4" t="str">
        <f>HYPERLINK("http://141.218.60.56/~jnz1568/getInfo.php?workbook=14_06.xlsx&amp;sheet=U0&amp;row=4019&amp;col=7&amp;number=0.00342&amp;sourceID=14","0.00342")</f>
        <v>0.00342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HYPERLINK("http://141.218.60.56/~jnz1568/getInfo.php?workbook=14_06.xlsx&amp;sheet=U0&amp;row=4020&amp;col=6&amp;number=4.6&amp;sourceID=14","4.6")</f>
        <v>4.6</v>
      </c>
      <c r="G4020" s="4" t="str">
        <f>HYPERLINK("http://141.218.60.56/~jnz1568/getInfo.php?workbook=14_06.xlsx&amp;sheet=U0&amp;row=4020&amp;col=7&amp;number=0.00341&amp;sourceID=14","0.00341")</f>
        <v>0.00341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HYPERLINK("http://141.218.60.56/~jnz1568/getInfo.php?workbook=14_06.xlsx&amp;sheet=U0&amp;row=4021&amp;col=6&amp;number=4.7&amp;sourceID=14","4.7")</f>
        <v>4.7</v>
      </c>
      <c r="G4021" s="4" t="str">
        <f>HYPERLINK("http://141.218.60.56/~jnz1568/getInfo.php?workbook=14_06.xlsx&amp;sheet=U0&amp;row=4021&amp;col=7&amp;number=0.0034&amp;sourceID=14","0.0034")</f>
        <v>0.0034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HYPERLINK("http://141.218.60.56/~jnz1568/getInfo.php?workbook=14_06.xlsx&amp;sheet=U0&amp;row=4022&amp;col=6&amp;number=4.8&amp;sourceID=14","4.8")</f>
        <v>4.8</v>
      </c>
      <c r="G4022" s="4" t="str">
        <f>HYPERLINK("http://141.218.60.56/~jnz1568/getInfo.php?workbook=14_06.xlsx&amp;sheet=U0&amp;row=4022&amp;col=7&amp;number=0.00338&amp;sourceID=14","0.00338")</f>
        <v>0.00338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HYPERLINK("http://141.218.60.56/~jnz1568/getInfo.php?workbook=14_06.xlsx&amp;sheet=U0&amp;row=4023&amp;col=6&amp;number=4.9&amp;sourceID=14","4.9")</f>
        <v>4.9</v>
      </c>
      <c r="G4023" s="4" t="str">
        <f>HYPERLINK("http://141.218.60.56/~jnz1568/getInfo.php?workbook=14_06.xlsx&amp;sheet=U0&amp;row=4023&amp;col=7&amp;number=0.00336&amp;sourceID=14","0.00336")</f>
        <v>0.00336</v>
      </c>
    </row>
    <row r="4024" spans="1:7">
      <c r="A4024" s="3">
        <v>14</v>
      </c>
      <c r="B4024" s="3">
        <v>6</v>
      </c>
      <c r="C4024" s="3">
        <v>5</v>
      </c>
      <c r="D4024" s="3">
        <v>33</v>
      </c>
      <c r="E4024" s="3">
        <v>1</v>
      </c>
      <c r="F4024" s="4" t="str">
        <f>HYPERLINK("http://141.218.60.56/~jnz1568/getInfo.php?workbook=14_06.xlsx&amp;sheet=U0&amp;row=4024&amp;col=6&amp;number=3&amp;sourceID=14","3")</f>
        <v>3</v>
      </c>
      <c r="G4024" s="4" t="str">
        <f>HYPERLINK("http://141.218.60.56/~jnz1568/getInfo.php?workbook=14_06.xlsx&amp;sheet=U0&amp;row=4024&amp;col=7&amp;number=0.00543&amp;sourceID=14","0.00543")</f>
        <v>0.00543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HYPERLINK("http://141.218.60.56/~jnz1568/getInfo.php?workbook=14_06.xlsx&amp;sheet=U0&amp;row=4025&amp;col=6&amp;number=3.1&amp;sourceID=14","3.1")</f>
        <v>3.1</v>
      </c>
      <c r="G4025" s="4" t="str">
        <f>HYPERLINK("http://141.218.60.56/~jnz1568/getInfo.php?workbook=14_06.xlsx&amp;sheet=U0&amp;row=4025&amp;col=7&amp;number=0.00543&amp;sourceID=14","0.00543")</f>
        <v>0.00543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HYPERLINK("http://141.218.60.56/~jnz1568/getInfo.php?workbook=14_06.xlsx&amp;sheet=U0&amp;row=4026&amp;col=6&amp;number=3.2&amp;sourceID=14","3.2")</f>
        <v>3.2</v>
      </c>
      <c r="G4026" s="4" t="str">
        <f>HYPERLINK("http://141.218.60.56/~jnz1568/getInfo.php?workbook=14_06.xlsx&amp;sheet=U0&amp;row=4026&amp;col=7&amp;number=0.00543&amp;sourceID=14","0.00543")</f>
        <v>0.00543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HYPERLINK("http://141.218.60.56/~jnz1568/getInfo.php?workbook=14_06.xlsx&amp;sheet=U0&amp;row=4027&amp;col=6&amp;number=3.3&amp;sourceID=14","3.3")</f>
        <v>3.3</v>
      </c>
      <c r="G4027" s="4" t="str">
        <f>HYPERLINK("http://141.218.60.56/~jnz1568/getInfo.php?workbook=14_06.xlsx&amp;sheet=U0&amp;row=4027&amp;col=7&amp;number=0.00543&amp;sourceID=14","0.00543")</f>
        <v>0.00543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HYPERLINK("http://141.218.60.56/~jnz1568/getInfo.php?workbook=14_06.xlsx&amp;sheet=U0&amp;row=4028&amp;col=6&amp;number=3.4&amp;sourceID=14","3.4")</f>
        <v>3.4</v>
      </c>
      <c r="G4028" s="4" t="str">
        <f>HYPERLINK("http://141.218.60.56/~jnz1568/getInfo.php?workbook=14_06.xlsx&amp;sheet=U0&amp;row=4028&amp;col=7&amp;number=0.00543&amp;sourceID=14","0.00543")</f>
        <v>0.00543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HYPERLINK("http://141.218.60.56/~jnz1568/getInfo.php?workbook=14_06.xlsx&amp;sheet=U0&amp;row=4029&amp;col=6&amp;number=3.5&amp;sourceID=14","3.5")</f>
        <v>3.5</v>
      </c>
      <c r="G4029" s="4" t="str">
        <f>HYPERLINK("http://141.218.60.56/~jnz1568/getInfo.php?workbook=14_06.xlsx&amp;sheet=U0&amp;row=4029&amp;col=7&amp;number=0.00543&amp;sourceID=14","0.00543")</f>
        <v>0.00543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HYPERLINK("http://141.218.60.56/~jnz1568/getInfo.php?workbook=14_06.xlsx&amp;sheet=U0&amp;row=4030&amp;col=6&amp;number=3.6&amp;sourceID=14","3.6")</f>
        <v>3.6</v>
      </c>
      <c r="G4030" s="4" t="str">
        <f>HYPERLINK("http://141.218.60.56/~jnz1568/getInfo.php?workbook=14_06.xlsx&amp;sheet=U0&amp;row=4030&amp;col=7&amp;number=0.00544&amp;sourceID=14","0.00544")</f>
        <v>0.00544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HYPERLINK("http://141.218.60.56/~jnz1568/getInfo.php?workbook=14_06.xlsx&amp;sheet=U0&amp;row=4031&amp;col=6&amp;number=3.7&amp;sourceID=14","3.7")</f>
        <v>3.7</v>
      </c>
      <c r="G4031" s="4" t="str">
        <f>HYPERLINK("http://141.218.60.56/~jnz1568/getInfo.php?workbook=14_06.xlsx&amp;sheet=U0&amp;row=4031&amp;col=7&amp;number=0.00544&amp;sourceID=14","0.00544")</f>
        <v>0.00544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HYPERLINK("http://141.218.60.56/~jnz1568/getInfo.php?workbook=14_06.xlsx&amp;sheet=U0&amp;row=4032&amp;col=6&amp;number=3.8&amp;sourceID=14","3.8")</f>
        <v>3.8</v>
      </c>
      <c r="G4032" s="4" t="str">
        <f>HYPERLINK("http://141.218.60.56/~jnz1568/getInfo.php?workbook=14_06.xlsx&amp;sheet=U0&amp;row=4032&amp;col=7&amp;number=0.00544&amp;sourceID=14","0.00544")</f>
        <v>0.00544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HYPERLINK("http://141.218.60.56/~jnz1568/getInfo.php?workbook=14_06.xlsx&amp;sheet=U0&amp;row=4033&amp;col=6&amp;number=3.9&amp;sourceID=14","3.9")</f>
        <v>3.9</v>
      </c>
      <c r="G4033" s="4" t="str">
        <f>HYPERLINK("http://141.218.60.56/~jnz1568/getInfo.php?workbook=14_06.xlsx&amp;sheet=U0&amp;row=4033&amp;col=7&amp;number=0.00544&amp;sourceID=14","0.00544")</f>
        <v>0.00544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HYPERLINK("http://141.218.60.56/~jnz1568/getInfo.php?workbook=14_06.xlsx&amp;sheet=U0&amp;row=4034&amp;col=6&amp;number=4&amp;sourceID=14","4")</f>
        <v>4</v>
      </c>
      <c r="G4034" s="4" t="str">
        <f>HYPERLINK("http://141.218.60.56/~jnz1568/getInfo.php?workbook=14_06.xlsx&amp;sheet=U0&amp;row=4034&amp;col=7&amp;number=0.00545&amp;sourceID=14","0.00545")</f>
        <v>0.00545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HYPERLINK("http://141.218.60.56/~jnz1568/getInfo.php?workbook=14_06.xlsx&amp;sheet=U0&amp;row=4035&amp;col=6&amp;number=4.1&amp;sourceID=14","4.1")</f>
        <v>4.1</v>
      </c>
      <c r="G4035" s="4" t="str">
        <f>HYPERLINK("http://141.218.60.56/~jnz1568/getInfo.php?workbook=14_06.xlsx&amp;sheet=U0&amp;row=4035&amp;col=7&amp;number=0.00545&amp;sourceID=14","0.00545")</f>
        <v>0.00545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HYPERLINK("http://141.218.60.56/~jnz1568/getInfo.php?workbook=14_06.xlsx&amp;sheet=U0&amp;row=4036&amp;col=6&amp;number=4.2&amp;sourceID=14","4.2")</f>
        <v>4.2</v>
      </c>
      <c r="G4036" s="4" t="str">
        <f>HYPERLINK("http://141.218.60.56/~jnz1568/getInfo.php?workbook=14_06.xlsx&amp;sheet=U0&amp;row=4036&amp;col=7&amp;number=0.00546&amp;sourceID=14","0.00546")</f>
        <v>0.00546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HYPERLINK("http://141.218.60.56/~jnz1568/getInfo.php?workbook=14_06.xlsx&amp;sheet=U0&amp;row=4037&amp;col=6&amp;number=4.3&amp;sourceID=14","4.3")</f>
        <v>4.3</v>
      </c>
      <c r="G4037" s="4" t="str">
        <f>HYPERLINK("http://141.218.60.56/~jnz1568/getInfo.php?workbook=14_06.xlsx&amp;sheet=U0&amp;row=4037&amp;col=7&amp;number=0.00547&amp;sourceID=14","0.00547")</f>
        <v>0.00547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HYPERLINK("http://141.218.60.56/~jnz1568/getInfo.php?workbook=14_06.xlsx&amp;sheet=U0&amp;row=4038&amp;col=6&amp;number=4.4&amp;sourceID=14","4.4")</f>
        <v>4.4</v>
      </c>
      <c r="G4038" s="4" t="str">
        <f>HYPERLINK("http://141.218.60.56/~jnz1568/getInfo.php?workbook=14_06.xlsx&amp;sheet=U0&amp;row=4038&amp;col=7&amp;number=0.00548&amp;sourceID=14","0.00548")</f>
        <v>0.00548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HYPERLINK("http://141.218.60.56/~jnz1568/getInfo.php?workbook=14_06.xlsx&amp;sheet=U0&amp;row=4039&amp;col=6&amp;number=4.5&amp;sourceID=14","4.5")</f>
        <v>4.5</v>
      </c>
      <c r="G4039" s="4" t="str">
        <f>HYPERLINK("http://141.218.60.56/~jnz1568/getInfo.php?workbook=14_06.xlsx&amp;sheet=U0&amp;row=4039&amp;col=7&amp;number=0.00549&amp;sourceID=14","0.00549")</f>
        <v>0.00549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HYPERLINK("http://141.218.60.56/~jnz1568/getInfo.php?workbook=14_06.xlsx&amp;sheet=U0&amp;row=4040&amp;col=6&amp;number=4.6&amp;sourceID=14","4.6")</f>
        <v>4.6</v>
      </c>
      <c r="G4040" s="4" t="str">
        <f>HYPERLINK("http://141.218.60.56/~jnz1568/getInfo.php?workbook=14_06.xlsx&amp;sheet=U0&amp;row=4040&amp;col=7&amp;number=0.0055&amp;sourceID=14","0.0055")</f>
        <v>0.0055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HYPERLINK("http://141.218.60.56/~jnz1568/getInfo.php?workbook=14_06.xlsx&amp;sheet=U0&amp;row=4041&amp;col=6&amp;number=4.7&amp;sourceID=14","4.7")</f>
        <v>4.7</v>
      </c>
      <c r="G4041" s="4" t="str">
        <f>HYPERLINK("http://141.218.60.56/~jnz1568/getInfo.php?workbook=14_06.xlsx&amp;sheet=U0&amp;row=4041&amp;col=7&amp;number=0.00552&amp;sourceID=14","0.00552")</f>
        <v>0.00552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HYPERLINK("http://141.218.60.56/~jnz1568/getInfo.php?workbook=14_06.xlsx&amp;sheet=U0&amp;row=4042&amp;col=6&amp;number=4.8&amp;sourceID=14","4.8")</f>
        <v>4.8</v>
      </c>
      <c r="G4042" s="4" t="str">
        <f>HYPERLINK("http://141.218.60.56/~jnz1568/getInfo.php?workbook=14_06.xlsx&amp;sheet=U0&amp;row=4042&amp;col=7&amp;number=0.00554&amp;sourceID=14","0.00554")</f>
        <v>0.00554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HYPERLINK("http://141.218.60.56/~jnz1568/getInfo.php?workbook=14_06.xlsx&amp;sheet=U0&amp;row=4043&amp;col=6&amp;number=4.9&amp;sourceID=14","4.9")</f>
        <v>4.9</v>
      </c>
      <c r="G4043" s="4" t="str">
        <f>HYPERLINK("http://141.218.60.56/~jnz1568/getInfo.php?workbook=14_06.xlsx&amp;sheet=U0&amp;row=4043&amp;col=7&amp;number=0.00557&amp;sourceID=14","0.00557")</f>
        <v>0.00557</v>
      </c>
    </row>
    <row r="4044" spans="1:7">
      <c r="A4044" s="3">
        <v>14</v>
      </c>
      <c r="B4044" s="3">
        <v>6</v>
      </c>
      <c r="C4044" s="3">
        <v>5</v>
      </c>
      <c r="D4044" s="3">
        <v>34</v>
      </c>
      <c r="E4044" s="3">
        <v>1</v>
      </c>
      <c r="F4044" s="4" t="str">
        <f>HYPERLINK("http://141.218.60.56/~jnz1568/getInfo.php?workbook=14_06.xlsx&amp;sheet=U0&amp;row=4044&amp;col=6&amp;number=3&amp;sourceID=14","3")</f>
        <v>3</v>
      </c>
      <c r="G4044" s="4" t="str">
        <f>HYPERLINK("http://141.218.60.56/~jnz1568/getInfo.php?workbook=14_06.xlsx&amp;sheet=U0&amp;row=4044&amp;col=7&amp;number=0.0562&amp;sourceID=14","0.0562")</f>
        <v>0.0562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HYPERLINK("http://141.218.60.56/~jnz1568/getInfo.php?workbook=14_06.xlsx&amp;sheet=U0&amp;row=4045&amp;col=6&amp;number=3.1&amp;sourceID=14","3.1")</f>
        <v>3.1</v>
      </c>
      <c r="G4045" s="4" t="str">
        <f>HYPERLINK("http://141.218.60.56/~jnz1568/getInfo.php?workbook=14_06.xlsx&amp;sheet=U0&amp;row=4045&amp;col=7&amp;number=0.0562&amp;sourceID=14","0.0562")</f>
        <v>0.0562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HYPERLINK("http://141.218.60.56/~jnz1568/getInfo.php?workbook=14_06.xlsx&amp;sheet=U0&amp;row=4046&amp;col=6&amp;number=3.2&amp;sourceID=14","3.2")</f>
        <v>3.2</v>
      </c>
      <c r="G4046" s="4" t="str">
        <f>HYPERLINK("http://141.218.60.56/~jnz1568/getInfo.php?workbook=14_06.xlsx&amp;sheet=U0&amp;row=4046&amp;col=7&amp;number=0.0562&amp;sourceID=14","0.0562")</f>
        <v>0.0562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HYPERLINK("http://141.218.60.56/~jnz1568/getInfo.php?workbook=14_06.xlsx&amp;sheet=U0&amp;row=4047&amp;col=6&amp;number=3.3&amp;sourceID=14","3.3")</f>
        <v>3.3</v>
      </c>
      <c r="G4047" s="4" t="str">
        <f>HYPERLINK("http://141.218.60.56/~jnz1568/getInfo.php?workbook=14_06.xlsx&amp;sheet=U0&amp;row=4047&amp;col=7&amp;number=0.0562&amp;sourceID=14","0.0562")</f>
        <v>0.0562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HYPERLINK("http://141.218.60.56/~jnz1568/getInfo.php?workbook=14_06.xlsx&amp;sheet=U0&amp;row=4048&amp;col=6&amp;number=3.4&amp;sourceID=14","3.4")</f>
        <v>3.4</v>
      </c>
      <c r="G4048" s="4" t="str">
        <f>HYPERLINK("http://141.218.60.56/~jnz1568/getInfo.php?workbook=14_06.xlsx&amp;sheet=U0&amp;row=4048&amp;col=7&amp;number=0.0562&amp;sourceID=14","0.0562")</f>
        <v>0.0562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HYPERLINK("http://141.218.60.56/~jnz1568/getInfo.php?workbook=14_06.xlsx&amp;sheet=U0&amp;row=4049&amp;col=6&amp;number=3.5&amp;sourceID=14","3.5")</f>
        <v>3.5</v>
      </c>
      <c r="G4049" s="4" t="str">
        <f>HYPERLINK("http://141.218.60.56/~jnz1568/getInfo.php?workbook=14_06.xlsx&amp;sheet=U0&amp;row=4049&amp;col=7&amp;number=0.0562&amp;sourceID=14","0.0562")</f>
        <v>0.0562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HYPERLINK("http://141.218.60.56/~jnz1568/getInfo.php?workbook=14_06.xlsx&amp;sheet=U0&amp;row=4050&amp;col=6&amp;number=3.6&amp;sourceID=14","3.6")</f>
        <v>3.6</v>
      </c>
      <c r="G4050" s="4" t="str">
        <f>HYPERLINK("http://141.218.60.56/~jnz1568/getInfo.php?workbook=14_06.xlsx&amp;sheet=U0&amp;row=4050&amp;col=7&amp;number=0.0562&amp;sourceID=14","0.0562")</f>
        <v>0.0562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HYPERLINK("http://141.218.60.56/~jnz1568/getInfo.php?workbook=14_06.xlsx&amp;sheet=U0&amp;row=4051&amp;col=6&amp;number=3.7&amp;sourceID=14","3.7")</f>
        <v>3.7</v>
      </c>
      <c r="G4051" s="4" t="str">
        <f>HYPERLINK("http://141.218.60.56/~jnz1568/getInfo.php?workbook=14_06.xlsx&amp;sheet=U0&amp;row=4051&amp;col=7&amp;number=0.0562&amp;sourceID=14","0.0562")</f>
        <v>0.0562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HYPERLINK("http://141.218.60.56/~jnz1568/getInfo.php?workbook=14_06.xlsx&amp;sheet=U0&amp;row=4052&amp;col=6&amp;number=3.8&amp;sourceID=14","3.8")</f>
        <v>3.8</v>
      </c>
      <c r="G4052" s="4" t="str">
        <f>HYPERLINK("http://141.218.60.56/~jnz1568/getInfo.php?workbook=14_06.xlsx&amp;sheet=U0&amp;row=4052&amp;col=7&amp;number=0.0562&amp;sourceID=14","0.0562")</f>
        <v>0.0562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HYPERLINK("http://141.218.60.56/~jnz1568/getInfo.php?workbook=14_06.xlsx&amp;sheet=U0&amp;row=4053&amp;col=6&amp;number=3.9&amp;sourceID=14","3.9")</f>
        <v>3.9</v>
      </c>
      <c r="G4053" s="4" t="str">
        <f>HYPERLINK("http://141.218.60.56/~jnz1568/getInfo.php?workbook=14_06.xlsx&amp;sheet=U0&amp;row=4053&amp;col=7&amp;number=0.0562&amp;sourceID=14","0.0562")</f>
        <v>0.0562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HYPERLINK("http://141.218.60.56/~jnz1568/getInfo.php?workbook=14_06.xlsx&amp;sheet=U0&amp;row=4054&amp;col=6&amp;number=4&amp;sourceID=14","4")</f>
        <v>4</v>
      </c>
      <c r="G4054" s="4" t="str">
        <f>HYPERLINK("http://141.218.60.56/~jnz1568/getInfo.php?workbook=14_06.xlsx&amp;sheet=U0&amp;row=4054&amp;col=7&amp;number=0.0562&amp;sourceID=14","0.0562")</f>
        <v>0.0562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HYPERLINK("http://141.218.60.56/~jnz1568/getInfo.php?workbook=14_06.xlsx&amp;sheet=U0&amp;row=4055&amp;col=6&amp;number=4.1&amp;sourceID=14","4.1")</f>
        <v>4.1</v>
      </c>
      <c r="G4055" s="4" t="str">
        <f>HYPERLINK("http://141.218.60.56/~jnz1568/getInfo.php?workbook=14_06.xlsx&amp;sheet=U0&amp;row=4055&amp;col=7&amp;number=0.0563&amp;sourceID=14","0.0563")</f>
        <v>0.0563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HYPERLINK("http://141.218.60.56/~jnz1568/getInfo.php?workbook=14_06.xlsx&amp;sheet=U0&amp;row=4056&amp;col=6&amp;number=4.2&amp;sourceID=14","4.2")</f>
        <v>4.2</v>
      </c>
      <c r="G4056" s="4" t="str">
        <f>HYPERLINK("http://141.218.60.56/~jnz1568/getInfo.php?workbook=14_06.xlsx&amp;sheet=U0&amp;row=4056&amp;col=7&amp;number=0.0563&amp;sourceID=14","0.0563")</f>
        <v>0.0563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HYPERLINK("http://141.218.60.56/~jnz1568/getInfo.php?workbook=14_06.xlsx&amp;sheet=U0&amp;row=4057&amp;col=6&amp;number=4.3&amp;sourceID=14","4.3")</f>
        <v>4.3</v>
      </c>
      <c r="G4057" s="4" t="str">
        <f>HYPERLINK("http://141.218.60.56/~jnz1568/getInfo.php?workbook=14_06.xlsx&amp;sheet=U0&amp;row=4057&amp;col=7&amp;number=0.0563&amp;sourceID=14","0.0563")</f>
        <v>0.0563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HYPERLINK("http://141.218.60.56/~jnz1568/getInfo.php?workbook=14_06.xlsx&amp;sheet=U0&amp;row=4058&amp;col=6&amp;number=4.4&amp;sourceID=14","4.4")</f>
        <v>4.4</v>
      </c>
      <c r="G4058" s="4" t="str">
        <f>HYPERLINK("http://141.218.60.56/~jnz1568/getInfo.php?workbook=14_06.xlsx&amp;sheet=U0&amp;row=4058&amp;col=7&amp;number=0.0564&amp;sourceID=14","0.0564")</f>
        <v>0.0564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HYPERLINK("http://141.218.60.56/~jnz1568/getInfo.php?workbook=14_06.xlsx&amp;sheet=U0&amp;row=4059&amp;col=6&amp;number=4.5&amp;sourceID=14","4.5")</f>
        <v>4.5</v>
      </c>
      <c r="G4059" s="4" t="str">
        <f>HYPERLINK("http://141.218.60.56/~jnz1568/getInfo.php?workbook=14_06.xlsx&amp;sheet=U0&amp;row=4059&amp;col=7&amp;number=0.0564&amp;sourceID=14","0.0564")</f>
        <v>0.0564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HYPERLINK("http://141.218.60.56/~jnz1568/getInfo.php?workbook=14_06.xlsx&amp;sheet=U0&amp;row=4060&amp;col=6&amp;number=4.6&amp;sourceID=14","4.6")</f>
        <v>4.6</v>
      </c>
      <c r="G4060" s="4" t="str">
        <f>HYPERLINK("http://141.218.60.56/~jnz1568/getInfo.php?workbook=14_06.xlsx&amp;sheet=U0&amp;row=4060&amp;col=7&amp;number=0.0565&amp;sourceID=14","0.0565")</f>
        <v>0.0565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HYPERLINK("http://141.218.60.56/~jnz1568/getInfo.php?workbook=14_06.xlsx&amp;sheet=U0&amp;row=4061&amp;col=6&amp;number=4.7&amp;sourceID=14","4.7")</f>
        <v>4.7</v>
      </c>
      <c r="G4061" s="4" t="str">
        <f>HYPERLINK("http://141.218.60.56/~jnz1568/getInfo.php?workbook=14_06.xlsx&amp;sheet=U0&amp;row=4061&amp;col=7&amp;number=0.0565&amp;sourceID=14","0.0565")</f>
        <v>0.0565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HYPERLINK("http://141.218.60.56/~jnz1568/getInfo.php?workbook=14_06.xlsx&amp;sheet=U0&amp;row=4062&amp;col=6&amp;number=4.8&amp;sourceID=14","4.8")</f>
        <v>4.8</v>
      </c>
      <c r="G4062" s="4" t="str">
        <f>HYPERLINK("http://141.218.60.56/~jnz1568/getInfo.php?workbook=14_06.xlsx&amp;sheet=U0&amp;row=4062&amp;col=7&amp;number=0.0566&amp;sourceID=14","0.0566")</f>
        <v>0.0566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HYPERLINK("http://141.218.60.56/~jnz1568/getInfo.php?workbook=14_06.xlsx&amp;sheet=U0&amp;row=4063&amp;col=6&amp;number=4.9&amp;sourceID=14","4.9")</f>
        <v>4.9</v>
      </c>
      <c r="G4063" s="4" t="str">
        <f>HYPERLINK("http://141.218.60.56/~jnz1568/getInfo.php?workbook=14_06.xlsx&amp;sheet=U0&amp;row=4063&amp;col=7&amp;number=0.0567&amp;sourceID=14","0.0567")</f>
        <v>0.0567</v>
      </c>
    </row>
    <row r="4064" spans="1:7">
      <c r="A4064" s="3">
        <v>14</v>
      </c>
      <c r="B4064" s="3">
        <v>6</v>
      </c>
      <c r="C4064" s="3">
        <v>5</v>
      </c>
      <c r="D4064" s="3">
        <v>35</v>
      </c>
      <c r="E4064" s="3">
        <v>1</v>
      </c>
      <c r="F4064" s="4" t="str">
        <f>HYPERLINK("http://141.218.60.56/~jnz1568/getInfo.php?workbook=14_06.xlsx&amp;sheet=U0&amp;row=4064&amp;col=6&amp;number=3&amp;sourceID=14","3")</f>
        <v>3</v>
      </c>
      <c r="G4064" s="4" t="str">
        <f>HYPERLINK("http://141.218.60.56/~jnz1568/getInfo.php?workbook=14_06.xlsx&amp;sheet=U0&amp;row=4064&amp;col=7&amp;number=0.00492&amp;sourceID=14","0.00492")</f>
        <v>0.00492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HYPERLINK("http://141.218.60.56/~jnz1568/getInfo.php?workbook=14_06.xlsx&amp;sheet=U0&amp;row=4065&amp;col=6&amp;number=3.1&amp;sourceID=14","3.1")</f>
        <v>3.1</v>
      </c>
      <c r="G4065" s="4" t="str">
        <f>HYPERLINK("http://141.218.60.56/~jnz1568/getInfo.php?workbook=14_06.xlsx&amp;sheet=U0&amp;row=4065&amp;col=7&amp;number=0.00492&amp;sourceID=14","0.00492")</f>
        <v>0.00492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HYPERLINK("http://141.218.60.56/~jnz1568/getInfo.php?workbook=14_06.xlsx&amp;sheet=U0&amp;row=4066&amp;col=6&amp;number=3.2&amp;sourceID=14","3.2")</f>
        <v>3.2</v>
      </c>
      <c r="G4066" s="4" t="str">
        <f>HYPERLINK("http://141.218.60.56/~jnz1568/getInfo.php?workbook=14_06.xlsx&amp;sheet=U0&amp;row=4066&amp;col=7&amp;number=0.00492&amp;sourceID=14","0.00492")</f>
        <v>0.00492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HYPERLINK("http://141.218.60.56/~jnz1568/getInfo.php?workbook=14_06.xlsx&amp;sheet=U0&amp;row=4067&amp;col=6&amp;number=3.3&amp;sourceID=14","3.3")</f>
        <v>3.3</v>
      </c>
      <c r="G4067" s="4" t="str">
        <f>HYPERLINK("http://141.218.60.56/~jnz1568/getInfo.php?workbook=14_06.xlsx&amp;sheet=U0&amp;row=4067&amp;col=7&amp;number=0.00492&amp;sourceID=14","0.00492")</f>
        <v>0.00492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HYPERLINK("http://141.218.60.56/~jnz1568/getInfo.php?workbook=14_06.xlsx&amp;sheet=U0&amp;row=4068&amp;col=6&amp;number=3.4&amp;sourceID=14","3.4")</f>
        <v>3.4</v>
      </c>
      <c r="G4068" s="4" t="str">
        <f>HYPERLINK("http://141.218.60.56/~jnz1568/getInfo.php?workbook=14_06.xlsx&amp;sheet=U0&amp;row=4068&amp;col=7&amp;number=0.00492&amp;sourceID=14","0.00492")</f>
        <v>0.00492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HYPERLINK("http://141.218.60.56/~jnz1568/getInfo.php?workbook=14_06.xlsx&amp;sheet=U0&amp;row=4069&amp;col=6&amp;number=3.5&amp;sourceID=14","3.5")</f>
        <v>3.5</v>
      </c>
      <c r="G4069" s="4" t="str">
        <f>HYPERLINK("http://141.218.60.56/~jnz1568/getInfo.php?workbook=14_06.xlsx&amp;sheet=U0&amp;row=4069&amp;col=7&amp;number=0.00491&amp;sourceID=14","0.00491")</f>
        <v>0.00491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HYPERLINK("http://141.218.60.56/~jnz1568/getInfo.php?workbook=14_06.xlsx&amp;sheet=U0&amp;row=4070&amp;col=6&amp;number=3.6&amp;sourceID=14","3.6")</f>
        <v>3.6</v>
      </c>
      <c r="G4070" s="4" t="str">
        <f>HYPERLINK("http://141.218.60.56/~jnz1568/getInfo.php?workbook=14_06.xlsx&amp;sheet=U0&amp;row=4070&amp;col=7&amp;number=0.00491&amp;sourceID=14","0.00491")</f>
        <v>0.00491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HYPERLINK("http://141.218.60.56/~jnz1568/getInfo.php?workbook=14_06.xlsx&amp;sheet=U0&amp;row=4071&amp;col=6&amp;number=3.7&amp;sourceID=14","3.7")</f>
        <v>3.7</v>
      </c>
      <c r="G4071" s="4" t="str">
        <f>HYPERLINK("http://141.218.60.56/~jnz1568/getInfo.php?workbook=14_06.xlsx&amp;sheet=U0&amp;row=4071&amp;col=7&amp;number=0.00491&amp;sourceID=14","0.00491")</f>
        <v>0.00491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HYPERLINK("http://141.218.60.56/~jnz1568/getInfo.php?workbook=14_06.xlsx&amp;sheet=U0&amp;row=4072&amp;col=6&amp;number=3.8&amp;sourceID=14","3.8")</f>
        <v>3.8</v>
      </c>
      <c r="G4072" s="4" t="str">
        <f>HYPERLINK("http://141.218.60.56/~jnz1568/getInfo.php?workbook=14_06.xlsx&amp;sheet=U0&amp;row=4072&amp;col=7&amp;number=0.00491&amp;sourceID=14","0.00491")</f>
        <v>0.00491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HYPERLINK("http://141.218.60.56/~jnz1568/getInfo.php?workbook=14_06.xlsx&amp;sheet=U0&amp;row=4073&amp;col=6&amp;number=3.9&amp;sourceID=14","3.9")</f>
        <v>3.9</v>
      </c>
      <c r="G4073" s="4" t="str">
        <f>HYPERLINK("http://141.218.60.56/~jnz1568/getInfo.php?workbook=14_06.xlsx&amp;sheet=U0&amp;row=4073&amp;col=7&amp;number=0.0049&amp;sourceID=14","0.0049")</f>
        <v>0.0049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HYPERLINK("http://141.218.60.56/~jnz1568/getInfo.php?workbook=14_06.xlsx&amp;sheet=U0&amp;row=4074&amp;col=6&amp;number=4&amp;sourceID=14","4")</f>
        <v>4</v>
      </c>
      <c r="G4074" s="4" t="str">
        <f>HYPERLINK("http://141.218.60.56/~jnz1568/getInfo.php?workbook=14_06.xlsx&amp;sheet=U0&amp;row=4074&amp;col=7&amp;number=0.0049&amp;sourceID=14","0.0049")</f>
        <v>0.0049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HYPERLINK("http://141.218.60.56/~jnz1568/getInfo.php?workbook=14_06.xlsx&amp;sheet=U0&amp;row=4075&amp;col=6&amp;number=4.1&amp;sourceID=14","4.1")</f>
        <v>4.1</v>
      </c>
      <c r="G4075" s="4" t="str">
        <f>HYPERLINK("http://141.218.60.56/~jnz1568/getInfo.php?workbook=14_06.xlsx&amp;sheet=U0&amp;row=4075&amp;col=7&amp;number=0.0049&amp;sourceID=14","0.0049")</f>
        <v>0.0049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HYPERLINK("http://141.218.60.56/~jnz1568/getInfo.php?workbook=14_06.xlsx&amp;sheet=U0&amp;row=4076&amp;col=6&amp;number=4.2&amp;sourceID=14","4.2")</f>
        <v>4.2</v>
      </c>
      <c r="G4076" s="4" t="str">
        <f>HYPERLINK("http://141.218.60.56/~jnz1568/getInfo.php?workbook=14_06.xlsx&amp;sheet=U0&amp;row=4076&amp;col=7&amp;number=0.00489&amp;sourceID=14","0.00489")</f>
        <v>0.00489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HYPERLINK("http://141.218.60.56/~jnz1568/getInfo.php?workbook=14_06.xlsx&amp;sheet=U0&amp;row=4077&amp;col=6&amp;number=4.3&amp;sourceID=14","4.3")</f>
        <v>4.3</v>
      </c>
      <c r="G4077" s="4" t="str">
        <f>HYPERLINK("http://141.218.60.56/~jnz1568/getInfo.php?workbook=14_06.xlsx&amp;sheet=U0&amp;row=4077&amp;col=7&amp;number=0.00488&amp;sourceID=14","0.00488")</f>
        <v>0.00488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HYPERLINK("http://141.218.60.56/~jnz1568/getInfo.php?workbook=14_06.xlsx&amp;sheet=U0&amp;row=4078&amp;col=6&amp;number=4.4&amp;sourceID=14","4.4")</f>
        <v>4.4</v>
      </c>
      <c r="G4078" s="4" t="str">
        <f>HYPERLINK("http://141.218.60.56/~jnz1568/getInfo.php?workbook=14_06.xlsx&amp;sheet=U0&amp;row=4078&amp;col=7&amp;number=0.00487&amp;sourceID=14","0.00487")</f>
        <v>0.00487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HYPERLINK("http://141.218.60.56/~jnz1568/getInfo.php?workbook=14_06.xlsx&amp;sheet=U0&amp;row=4079&amp;col=6&amp;number=4.5&amp;sourceID=14","4.5")</f>
        <v>4.5</v>
      </c>
      <c r="G4079" s="4" t="str">
        <f>HYPERLINK("http://141.218.60.56/~jnz1568/getInfo.php?workbook=14_06.xlsx&amp;sheet=U0&amp;row=4079&amp;col=7&amp;number=0.00486&amp;sourceID=14","0.00486")</f>
        <v>0.00486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HYPERLINK("http://141.218.60.56/~jnz1568/getInfo.php?workbook=14_06.xlsx&amp;sheet=U0&amp;row=4080&amp;col=6&amp;number=4.6&amp;sourceID=14","4.6")</f>
        <v>4.6</v>
      </c>
      <c r="G4080" s="4" t="str">
        <f>HYPERLINK("http://141.218.60.56/~jnz1568/getInfo.php?workbook=14_06.xlsx&amp;sheet=U0&amp;row=4080&amp;col=7&amp;number=0.00484&amp;sourceID=14","0.00484")</f>
        <v>0.00484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HYPERLINK("http://141.218.60.56/~jnz1568/getInfo.php?workbook=14_06.xlsx&amp;sheet=U0&amp;row=4081&amp;col=6&amp;number=4.7&amp;sourceID=14","4.7")</f>
        <v>4.7</v>
      </c>
      <c r="G4081" s="4" t="str">
        <f>HYPERLINK("http://141.218.60.56/~jnz1568/getInfo.php?workbook=14_06.xlsx&amp;sheet=U0&amp;row=4081&amp;col=7&amp;number=0.00482&amp;sourceID=14","0.00482")</f>
        <v>0.00482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HYPERLINK("http://141.218.60.56/~jnz1568/getInfo.php?workbook=14_06.xlsx&amp;sheet=U0&amp;row=4082&amp;col=6&amp;number=4.8&amp;sourceID=14","4.8")</f>
        <v>4.8</v>
      </c>
      <c r="G4082" s="4" t="str">
        <f>HYPERLINK("http://141.218.60.56/~jnz1568/getInfo.php?workbook=14_06.xlsx&amp;sheet=U0&amp;row=4082&amp;col=7&amp;number=0.0048&amp;sourceID=14","0.0048")</f>
        <v>0.0048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HYPERLINK("http://141.218.60.56/~jnz1568/getInfo.php?workbook=14_06.xlsx&amp;sheet=U0&amp;row=4083&amp;col=6&amp;number=4.9&amp;sourceID=14","4.9")</f>
        <v>4.9</v>
      </c>
      <c r="G4083" s="4" t="str">
        <f>HYPERLINK("http://141.218.60.56/~jnz1568/getInfo.php?workbook=14_06.xlsx&amp;sheet=U0&amp;row=4083&amp;col=7&amp;number=0.00477&amp;sourceID=14","0.00477")</f>
        <v>0.00477</v>
      </c>
    </row>
    <row r="4084" spans="1:7">
      <c r="A4084" s="3">
        <v>14</v>
      </c>
      <c r="B4084" s="3">
        <v>6</v>
      </c>
      <c r="C4084" s="3">
        <v>5</v>
      </c>
      <c r="D4084" s="3">
        <v>36</v>
      </c>
      <c r="E4084" s="3">
        <v>1</v>
      </c>
      <c r="F4084" s="4" t="str">
        <f>HYPERLINK("http://141.218.60.56/~jnz1568/getInfo.php?workbook=14_06.xlsx&amp;sheet=U0&amp;row=4084&amp;col=6&amp;number=3&amp;sourceID=14","3")</f>
        <v>3</v>
      </c>
      <c r="G4084" s="4" t="str">
        <f>HYPERLINK("http://141.218.60.56/~jnz1568/getInfo.php?workbook=14_06.xlsx&amp;sheet=U0&amp;row=4084&amp;col=7&amp;number=0.00824&amp;sourceID=14","0.00824")</f>
        <v>0.00824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HYPERLINK("http://141.218.60.56/~jnz1568/getInfo.php?workbook=14_06.xlsx&amp;sheet=U0&amp;row=4085&amp;col=6&amp;number=3.1&amp;sourceID=14","3.1")</f>
        <v>3.1</v>
      </c>
      <c r="G4085" s="4" t="str">
        <f>HYPERLINK("http://141.218.60.56/~jnz1568/getInfo.php?workbook=14_06.xlsx&amp;sheet=U0&amp;row=4085&amp;col=7&amp;number=0.00824&amp;sourceID=14","0.00824")</f>
        <v>0.00824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HYPERLINK("http://141.218.60.56/~jnz1568/getInfo.php?workbook=14_06.xlsx&amp;sheet=U0&amp;row=4086&amp;col=6&amp;number=3.2&amp;sourceID=14","3.2")</f>
        <v>3.2</v>
      </c>
      <c r="G4086" s="4" t="str">
        <f>HYPERLINK("http://141.218.60.56/~jnz1568/getInfo.php?workbook=14_06.xlsx&amp;sheet=U0&amp;row=4086&amp;col=7&amp;number=0.00824&amp;sourceID=14","0.00824")</f>
        <v>0.00824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HYPERLINK("http://141.218.60.56/~jnz1568/getInfo.php?workbook=14_06.xlsx&amp;sheet=U0&amp;row=4087&amp;col=6&amp;number=3.3&amp;sourceID=14","3.3")</f>
        <v>3.3</v>
      </c>
      <c r="G4087" s="4" t="str">
        <f>HYPERLINK("http://141.218.60.56/~jnz1568/getInfo.php?workbook=14_06.xlsx&amp;sheet=U0&amp;row=4087&amp;col=7&amp;number=0.00824&amp;sourceID=14","0.00824")</f>
        <v>0.00824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HYPERLINK("http://141.218.60.56/~jnz1568/getInfo.php?workbook=14_06.xlsx&amp;sheet=U0&amp;row=4088&amp;col=6&amp;number=3.4&amp;sourceID=14","3.4")</f>
        <v>3.4</v>
      </c>
      <c r="G4088" s="4" t="str">
        <f>HYPERLINK("http://141.218.60.56/~jnz1568/getInfo.php?workbook=14_06.xlsx&amp;sheet=U0&amp;row=4088&amp;col=7&amp;number=0.00823&amp;sourceID=14","0.00823")</f>
        <v>0.00823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HYPERLINK("http://141.218.60.56/~jnz1568/getInfo.php?workbook=14_06.xlsx&amp;sheet=U0&amp;row=4089&amp;col=6&amp;number=3.5&amp;sourceID=14","3.5")</f>
        <v>3.5</v>
      </c>
      <c r="G4089" s="4" t="str">
        <f>HYPERLINK("http://141.218.60.56/~jnz1568/getInfo.php?workbook=14_06.xlsx&amp;sheet=U0&amp;row=4089&amp;col=7&amp;number=0.00823&amp;sourceID=14","0.00823")</f>
        <v>0.00823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HYPERLINK("http://141.218.60.56/~jnz1568/getInfo.php?workbook=14_06.xlsx&amp;sheet=U0&amp;row=4090&amp;col=6&amp;number=3.6&amp;sourceID=14","3.6")</f>
        <v>3.6</v>
      </c>
      <c r="G4090" s="4" t="str">
        <f>HYPERLINK("http://141.218.60.56/~jnz1568/getInfo.php?workbook=14_06.xlsx&amp;sheet=U0&amp;row=4090&amp;col=7&amp;number=0.00823&amp;sourceID=14","0.00823")</f>
        <v>0.00823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HYPERLINK("http://141.218.60.56/~jnz1568/getInfo.php?workbook=14_06.xlsx&amp;sheet=U0&amp;row=4091&amp;col=6&amp;number=3.7&amp;sourceID=14","3.7")</f>
        <v>3.7</v>
      </c>
      <c r="G4091" s="4" t="str">
        <f>HYPERLINK("http://141.218.60.56/~jnz1568/getInfo.php?workbook=14_06.xlsx&amp;sheet=U0&amp;row=4091&amp;col=7&amp;number=0.00823&amp;sourceID=14","0.00823")</f>
        <v>0.00823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HYPERLINK("http://141.218.60.56/~jnz1568/getInfo.php?workbook=14_06.xlsx&amp;sheet=U0&amp;row=4092&amp;col=6&amp;number=3.8&amp;sourceID=14","3.8")</f>
        <v>3.8</v>
      </c>
      <c r="G4092" s="4" t="str">
        <f>HYPERLINK("http://141.218.60.56/~jnz1568/getInfo.php?workbook=14_06.xlsx&amp;sheet=U0&amp;row=4092&amp;col=7&amp;number=0.00822&amp;sourceID=14","0.00822")</f>
        <v>0.00822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HYPERLINK("http://141.218.60.56/~jnz1568/getInfo.php?workbook=14_06.xlsx&amp;sheet=U0&amp;row=4093&amp;col=6&amp;number=3.9&amp;sourceID=14","3.9")</f>
        <v>3.9</v>
      </c>
      <c r="G4093" s="4" t="str">
        <f>HYPERLINK("http://141.218.60.56/~jnz1568/getInfo.php?workbook=14_06.xlsx&amp;sheet=U0&amp;row=4093&amp;col=7&amp;number=0.00822&amp;sourceID=14","0.00822")</f>
        <v>0.00822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HYPERLINK("http://141.218.60.56/~jnz1568/getInfo.php?workbook=14_06.xlsx&amp;sheet=U0&amp;row=4094&amp;col=6&amp;number=4&amp;sourceID=14","4")</f>
        <v>4</v>
      </c>
      <c r="G4094" s="4" t="str">
        <f>HYPERLINK("http://141.218.60.56/~jnz1568/getInfo.php?workbook=14_06.xlsx&amp;sheet=U0&amp;row=4094&amp;col=7&amp;number=0.00821&amp;sourceID=14","0.00821")</f>
        <v>0.00821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HYPERLINK("http://141.218.60.56/~jnz1568/getInfo.php?workbook=14_06.xlsx&amp;sheet=U0&amp;row=4095&amp;col=6&amp;number=4.1&amp;sourceID=14","4.1")</f>
        <v>4.1</v>
      </c>
      <c r="G4095" s="4" t="str">
        <f>HYPERLINK("http://141.218.60.56/~jnz1568/getInfo.php?workbook=14_06.xlsx&amp;sheet=U0&amp;row=4095&amp;col=7&amp;number=0.0082&amp;sourceID=14","0.0082")</f>
        <v>0.0082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HYPERLINK("http://141.218.60.56/~jnz1568/getInfo.php?workbook=14_06.xlsx&amp;sheet=U0&amp;row=4096&amp;col=6&amp;number=4.2&amp;sourceID=14","4.2")</f>
        <v>4.2</v>
      </c>
      <c r="G4096" s="4" t="str">
        <f>HYPERLINK("http://141.218.60.56/~jnz1568/getInfo.php?workbook=14_06.xlsx&amp;sheet=U0&amp;row=4096&amp;col=7&amp;number=0.00819&amp;sourceID=14","0.00819")</f>
        <v>0.00819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HYPERLINK("http://141.218.60.56/~jnz1568/getInfo.php?workbook=14_06.xlsx&amp;sheet=U0&amp;row=4097&amp;col=6&amp;number=4.3&amp;sourceID=14","4.3")</f>
        <v>4.3</v>
      </c>
      <c r="G4097" s="4" t="str">
        <f>HYPERLINK("http://141.218.60.56/~jnz1568/getInfo.php?workbook=14_06.xlsx&amp;sheet=U0&amp;row=4097&amp;col=7&amp;number=0.00818&amp;sourceID=14","0.00818")</f>
        <v>0.00818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HYPERLINK("http://141.218.60.56/~jnz1568/getInfo.php?workbook=14_06.xlsx&amp;sheet=U0&amp;row=4098&amp;col=6&amp;number=4.4&amp;sourceID=14","4.4")</f>
        <v>4.4</v>
      </c>
      <c r="G4098" s="4" t="str">
        <f>HYPERLINK("http://141.218.60.56/~jnz1568/getInfo.php?workbook=14_06.xlsx&amp;sheet=U0&amp;row=4098&amp;col=7&amp;number=0.00816&amp;sourceID=14","0.00816")</f>
        <v>0.00816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HYPERLINK("http://141.218.60.56/~jnz1568/getInfo.php?workbook=14_06.xlsx&amp;sheet=U0&amp;row=4099&amp;col=6&amp;number=4.5&amp;sourceID=14","4.5")</f>
        <v>4.5</v>
      </c>
      <c r="G4099" s="4" t="str">
        <f>HYPERLINK("http://141.218.60.56/~jnz1568/getInfo.php?workbook=14_06.xlsx&amp;sheet=U0&amp;row=4099&amp;col=7&amp;number=0.00814&amp;sourceID=14","0.00814")</f>
        <v>0.00814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HYPERLINK("http://141.218.60.56/~jnz1568/getInfo.php?workbook=14_06.xlsx&amp;sheet=U0&amp;row=4100&amp;col=6&amp;number=4.6&amp;sourceID=14","4.6")</f>
        <v>4.6</v>
      </c>
      <c r="G4100" s="4" t="str">
        <f>HYPERLINK("http://141.218.60.56/~jnz1568/getInfo.php?workbook=14_06.xlsx&amp;sheet=U0&amp;row=4100&amp;col=7&amp;number=0.00811&amp;sourceID=14","0.00811")</f>
        <v>0.00811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HYPERLINK("http://141.218.60.56/~jnz1568/getInfo.php?workbook=14_06.xlsx&amp;sheet=U0&amp;row=4101&amp;col=6&amp;number=4.7&amp;sourceID=14","4.7")</f>
        <v>4.7</v>
      </c>
      <c r="G4101" s="4" t="str">
        <f>HYPERLINK("http://141.218.60.56/~jnz1568/getInfo.php?workbook=14_06.xlsx&amp;sheet=U0&amp;row=4101&amp;col=7&amp;number=0.00808&amp;sourceID=14","0.00808")</f>
        <v>0.00808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HYPERLINK("http://141.218.60.56/~jnz1568/getInfo.php?workbook=14_06.xlsx&amp;sheet=U0&amp;row=4102&amp;col=6&amp;number=4.8&amp;sourceID=14","4.8")</f>
        <v>4.8</v>
      </c>
      <c r="G4102" s="4" t="str">
        <f>HYPERLINK("http://141.218.60.56/~jnz1568/getInfo.php?workbook=14_06.xlsx&amp;sheet=U0&amp;row=4102&amp;col=7&amp;number=0.00804&amp;sourceID=14","0.00804")</f>
        <v>0.00804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HYPERLINK("http://141.218.60.56/~jnz1568/getInfo.php?workbook=14_06.xlsx&amp;sheet=U0&amp;row=4103&amp;col=6&amp;number=4.9&amp;sourceID=14","4.9")</f>
        <v>4.9</v>
      </c>
      <c r="G4103" s="4" t="str">
        <f>HYPERLINK("http://141.218.60.56/~jnz1568/getInfo.php?workbook=14_06.xlsx&amp;sheet=U0&amp;row=4103&amp;col=7&amp;number=0.00799&amp;sourceID=14","0.00799")</f>
        <v>0.00799</v>
      </c>
    </row>
    <row r="4104" spans="1:7">
      <c r="A4104" s="3">
        <v>14</v>
      </c>
      <c r="B4104" s="3">
        <v>6</v>
      </c>
      <c r="C4104" s="3">
        <v>5</v>
      </c>
      <c r="D4104" s="3">
        <v>37</v>
      </c>
      <c r="E4104" s="3">
        <v>1</v>
      </c>
      <c r="F4104" s="4" t="str">
        <f>HYPERLINK("http://141.218.60.56/~jnz1568/getInfo.php?workbook=14_06.xlsx&amp;sheet=U0&amp;row=4104&amp;col=6&amp;number=3&amp;sourceID=14","3")</f>
        <v>3</v>
      </c>
      <c r="G4104" s="4" t="str">
        <f>HYPERLINK("http://141.218.60.56/~jnz1568/getInfo.php?workbook=14_06.xlsx&amp;sheet=U0&amp;row=4104&amp;col=7&amp;number=0.00433&amp;sourceID=14","0.00433")</f>
        <v>0.00433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HYPERLINK("http://141.218.60.56/~jnz1568/getInfo.php?workbook=14_06.xlsx&amp;sheet=U0&amp;row=4105&amp;col=6&amp;number=3.1&amp;sourceID=14","3.1")</f>
        <v>3.1</v>
      </c>
      <c r="G4105" s="4" t="str">
        <f>HYPERLINK("http://141.218.60.56/~jnz1568/getInfo.php?workbook=14_06.xlsx&amp;sheet=U0&amp;row=4105&amp;col=7&amp;number=0.00433&amp;sourceID=14","0.00433")</f>
        <v>0.00433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HYPERLINK("http://141.218.60.56/~jnz1568/getInfo.php?workbook=14_06.xlsx&amp;sheet=U0&amp;row=4106&amp;col=6&amp;number=3.2&amp;sourceID=14","3.2")</f>
        <v>3.2</v>
      </c>
      <c r="G4106" s="4" t="str">
        <f>HYPERLINK("http://141.218.60.56/~jnz1568/getInfo.php?workbook=14_06.xlsx&amp;sheet=U0&amp;row=4106&amp;col=7&amp;number=0.00433&amp;sourceID=14","0.00433")</f>
        <v>0.00433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HYPERLINK("http://141.218.60.56/~jnz1568/getInfo.php?workbook=14_06.xlsx&amp;sheet=U0&amp;row=4107&amp;col=6&amp;number=3.3&amp;sourceID=14","3.3")</f>
        <v>3.3</v>
      </c>
      <c r="G4107" s="4" t="str">
        <f>HYPERLINK("http://141.218.60.56/~jnz1568/getInfo.php?workbook=14_06.xlsx&amp;sheet=U0&amp;row=4107&amp;col=7&amp;number=0.00433&amp;sourceID=14","0.00433")</f>
        <v>0.00433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HYPERLINK("http://141.218.60.56/~jnz1568/getInfo.php?workbook=14_06.xlsx&amp;sheet=U0&amp;row=4108&amp;col=6&amp;number=3.4&amp;sourceID=14","3.4")</f>
        <v>3.4</v>
      </c>
      <c r="G4108" s="4" t="str">
        <f>HYPERLINK("http://141.218.60.56/~jnz1568/getInfo.php?workbook=14_06.xlsx&amp;sheet=U0&amp;row=4108&amp;col=7&amp;number=0.00433&amp;sourceID=14","0.00433")</f>
        <v>0.00433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HYPERLINK("http://141.218.60.56/~jnz1568/getInfo.php?workbook=14_06.xlsx&amp;sheet=U0&amp;row=4109&amp;col=6&amp;number=3.5&amp;sourceID=14","3.5")</f>
        <v>3.5</v>
      </c>
      <c r="G4109" s="4" t="str">
        <f>HYPERLINK("http://141.218.60.56/~jnz1568/getInfo.php?workbook=14_06.xlsx&amp;sheet=U0&amp;row=4109&amp;col=7&amp;number=0.00433&amp;sourceID=14","0.00433")</f>
        <v>0.00433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HYPERLINK("http://141.218.60.56/~jnz1568/getInfo.php?workbook=14_06.xlsx&amp;sheet=U0&amp;row=4110&amp;col=6&amp;number=3.6&amp;sourceID=14","3.6")</f>
        <v>3.6</v>
      </c>
      <c r="G4110" s="4" t="str">
        <f>HYPERLINK("http://141.218.60.56/~jnz1568/getInfo.php?workbook=14_06.xlsx&amp;sheet=U0&amp;row=4110&amp;col=7&amp;number=0.00433&amp;sourceID=14","0.00433")</f>
        <v>0.00433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HYPERLINK("http://141.218.60.56/~jnz1568/getInfo.php?workbook=14_06.xlsx&amp;sheet=U0&amp;row=4111&amp;col=6&amp;number=3.7&amp;sourceID=14","3.7")</f>
        <v>3.7</v>
      </c>
      <c r="G4111" s="4" t="str">
        <f>HYPERLINK("http://141.218.60.56/~jnz1568/getInfo.php?workbook=14_06.xlsx&amp;sheet=U0&amp;row=4111&amp;col=7&amp;number=0.00433&amp;sourceID=14","0.00433")</f>
        <v>0.00433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HYPERLINK("http://141.218.60.56/~jnz1568/getInfo.php?workbook=14_06.xlsx&amp;sheet=U0&amp;row=4112&amp;col=6&amp;number=3.8&amp;sourceID=14","3.8")</f>
        <v>3.8</v>
      </c>
      <c r="G4112" s="4" t="str">
        <f>HYPERLINK("http://141.218.60.56/~jnz1568/getInfo.php?workbook=14_06.xlsx&amp;sheet=U0&amp;row=4112&amp;col=7&amp;number=0.00432&amp;sourceID=14","0.00432")</f>
        <v>0.00432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HYPERLINK("http://141.218.60.56/~jnz1568/getInfo.php?workbook=14_06.xlsx&amp;sheet=U0&amp;row=4113&amp;col=6&amp;number=3.9&amp;sourceID=14","3.9")</f>
        <v>3.9</v>
      </c>
      <c r="G4113" s="4" t="str">
        <f>HYPERLINK("http://141.218.60.56/~jnz1568/getInfo.php?workbook=14_06.xlsx&amp;sheet=U0&amp;row=4113&amp;col=7&amp;number=0.00432&amp;sourceID=14","0.00432")</f>
        <v>0.00432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HYPERLINK("http://141.218.60.56/~jnz1568/getInfo.php?workbook=14_06.xlsx&amp;sheet=U0&amp;row=4114&amp;col=6&amp;number=4&amp;sourceID=14","4")</f>
        <v>4</v>
      </c>
      <c r="G4114" s="4" t="str">
        <f>HYPERLINK("http://141.218.60.56/~jnz1568/getInfo.php?workbook=14_06.xlsx&amp;sheet=U0&amp;row=4114&amp;col=7&amp;number=0.00432&amp;sourceID=14","0.00432")</f>
        <v>0.00432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HYPERLINK("http://141.218.60.56/~jnz1568/getInfo.php?workbook=14_06.xlsx&amp;sheet=U0&amp;row=4115&amp;col=6&amp;number=4.1&amp;sourceID=14","4.1")</f>
        <v>4.1</v>
      </c>
      <c r="G4115" s="4" t="str">
        <f>HYPERLINK("http://141.218.60.56/~jnz1568/getInfo.php?workbook=14_06.xlsx&amp;sheet=U0&amp;row=4115&amp;col=7&amp;number=0.00431&amp;sourceID=14","0.00431")</f>
        <v>0.00431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HYPERLINK("http://141.218.60.56/~jnz1568/getInfo.php?workbook=14_06.xlsx&amp;sheet=U0&amp;row=4116&amp;col=6&amp;number=4.2&amp;sourceID=14","4.2")</f>
        <v>4.2</v>
      </c>
      <c r="G4116" s="4" t="str">
        <f>HYPERLINK("http://141.218.60.56/~jnz1568/getInfo.php?workbook=14_06.xlsx&amp;sheet=U0&amp;row=4116&amp;col=7&amp;number=0.00431&amp;sourceID=14","0.00431")</f>
        <v>0.00431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HYPERLINK("http://141.218.60.56/~jnz1568/getInfo.php?workbook=14_06.xlsx&amp;sheet=U0&amp;row=4117&amp;col=6&amp;number=4.3&amp;sourceID=14","4.3")</f>
        <v>4.3</v>
      </c>
      <c r="G4117" s="4" t="str">
        <f>HYPERLINK("http://141.218.60.56/~jnz1568/getInfo.php?workbook=14_06.xlsx&amp;sheet=U0&amp;row=4117&amp;col=7&amp;number=0.0043&amp;sourceID=14","0.0043")</f>
        <v>0.0043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HYPERLINK("http://141.218.60.56/~jnz1568/getInfo.php?workbook=14_06.xlsx&amp;sheet=U0&amp;row=4118&amp;col=6&amp;number=4.4&amp;sourceID=14","4.4")</f>
        <v>4.4</v>
      </c>
      <c r="G4118" s="4" t="str">
        <f>HYPERLINK("http://141.218.60.56/~jnz1568/getInfo.php?workbook=14_06.xlsx&amp;sheet=U0&amp;row=4118&amp;col=7&amp;number=0.00429&amp;sourceID=14","0.00429")</f>
        <v>0.00429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HYPERLINK("http://141.218.60.56/~jnz1568/getInfo.php?workbook=14_06.xlsx&amp;sheet=U0&amp;row=4119&amp;col=6&amp;number=4.5&amp;sourceID=14","4.5")</f>
        <v>4.5</v>
      </c>
      <c r="G4119" s="4" t="str">
        <f>HYPERLINK("http://141.218.60.56/~jnz1568/getInfo.php?workbook=14_06.xlsx&amp;sheet=U0&amp;row=4119&amp;col=7&amp;number=0.00428&amp;sourceID=14","0.00428")</f>
        <v>0.00428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HYPERLINK("http://141.218.60.56/~jnz1568/getInfo.php?workbook=14_06.xlsx&amp;sheet=U0&amp;row=4120&amp;col=6&amp;number=4.6&amp;sourceID=14","4.6")</f>
        <v>4.6</v>
      </c>
      <c r="G4120" s="4" t="str">
        <f>HYPERLINK("http://141.218.60.56/~jnz1568/getInfo.php?workbook=14_06.xlsx&amp;sheet=U0&amp;row=4120&amp;col=7&amp;number=0.00427&amp;sourceID=14","0.00427")</f>
        <v>0.00427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HYPERLINK("http://141.218.60.56/~jnz1568/getInfo.php?workbook=14_06.xlsx&amp;sheet=U0&amp;row=4121&amp;col=6&amp;number=4.7&amp;sourceID=14","4.7")</f>
        <v>4.7</v>
      </c>
      <c r="G4121" s="4" t="str">
        <f>HYPERLINK("http://141.218.60.56/~jnz1568/getInfo.php?workbook=14_06.xlsx&amp;sheet=U0&amp;row=4121&amp;col=7&amp;number=0.00425&amp;sourceID=14","0.00425")</f>
        <v>0.00425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HYPERLINK("http://141.218.60.56/~jnz1568/getInfo.php?workbook=14_06.xlsx&amp;sheet=U0&amp;row=4122&amp;col=6&amp;number=4.8&amp;sourceID=14","4.8")</f>
        <v>4.8</v>
      </c>
      <c r="G4122" s="4" t="str">
        <f>HYPERLINK("http://141.218.60.56/~jnz1568/getInfo.php?workbook=14_06.xlsx&amp;sheet=U0&amp;row=4122&amp;col=7&amp;number=0.00423&amp;sourceID=14","0.00423")</f>
        <v>0.00423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HYPERLINK("http://141.218.60.56/~jnz1568/getInfo.php?workbook=14_06.xlsx&amp;sheet=U0&amp;row=4123&amp;col=6&amp;number=4.9&amp;sourceID=14","4.9")</f>
        <v>4.9</v>
      </c>
      <c r="G4123" s="4" t="str">
        <f>HYPERLINK("http://141.218.60.56/~jnz1568/getInfo.php?workbook=14_06.xlsx&amp;sheet=U0&amp;row=4123&amp;col=7&amp;number=0.0042&amp;sourceID=14","0.0042")</f>
        <v>0.0042</v>
      </c>
    </row>
    <row r="4124" spans="1:7">
      <c r="A4124" s="3">
        <v>14</v>
      </c>
      <c r="B4124" s="3">
        <v>6</v>
      </c>
      <c r="C4124" s="3">
        <v>5</v>
      </c>
      <c r="D4124" s="3">
        <v>38</v>
      </c>
      <c r="E4124" s="3">
        <v>1</v>
      </c>
      <c r="F4124" s="4" t="str">
        <f>HYPERLINK("http://141.218.60.56/~jnz1568/getInfo.php?workbook=14_06.xlsx&amp;sheet=U0&amp;row=4124&amp;col=6&amp;number=3&amp;sourceID=14","3")</f>
        <v>3</v>
      </c>
      <c r="G4124" s="4" t="str">
        <f>HYPERLINK("http://141.218.60.56/~jnz1568/getInfo.php?workbook=14_06.xlsx&amp;sheet=U0&amp;row=4124&amp;col=7&amp;number=0.0121&amp;sourceID=14","0.0121")</f>
        <v>0.0121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HYPERLINK("http://141.218.60.56/~jnz1568/getInfo.php?workbook=14_06.xlsx&amp;sheet=U0&amp;row=4125&amp;col=6&amp;number=3.1&amp;sourceID=14","3.1")</f>
        <v>3.1</v>
      </c>
      <c r="G4125" s="4" t="str">
        <f>HYPERLINK("http://141.218.60.56/~jnz1568/getInfo.php?workbook=14_06.xlsx&amp;sheet=U0&amp;row=4125&amp;col=7&amp;number=0.0121&amp;sourceID=14","0.0121")</f>
        <v>0.0121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HYPERLINK("http://141.218.60.56/~jnz1568/getInfo.php?workbook=14_06.xlsx&amp;sheet=U0&amp;row=4126&amp;col=6&amp;number=3.2&amp;sourceID=14","3.2")</f>
        <v>3.2</v>
      </c>
      <c r="G4126" s="4" t="str">
        <f>HYPERLINK("http://141.218.60.56/~jnz1568/getInfo.php?workbook=14_06.xlsx&amp;sheet=U0&amp;row=4126&amp;col=7&amp;number=0.0121&amp;sourceID=14","0.0121")</f>
        <v>0.0121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HYPERLINK("http://141.218.60.56/~jnz1568/getInfo.php?workbook=14_06.xlsx&amp;sheet=U0&amp;row=4127&amp;col=6&amp;number=3.3&amp;sourceID=14","3.3")</f>
        <v>3.3</v>
      </c>
      <c r="G4127" s="4" t="str">
        <f>HYPERLINK("http://141.218.60.56/~jnz1568/getInfo.php?workbook=14_06.xlsx&amp;sheet=U0&amp;row=4127&amp;col=7&amp;number=0.0121&amp;sourceID=14","0.0121")</f>
        <v>0.0121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HYPERLINK("http://141.218.60.56/~jnz1568/getInfo.php?workbook=14_06.xlsx&amp;sheet=U0&amp;row=4128&amp;col=6&amp;number=3.4&amp;sourceID=14","3.4")</f>
        <v>3.4</v>
      </c>
      <c r="G4128" s="4" t="str">
        <f>HYPERLINK("http://141.218.60.56/~jnz1568/getInfo.php?workbook=14_06.xlsx&amp;sheet=U0&amp;row=4128&amp;col=7&amp;number=0.0121&amp;sourceID=14","0.0121")</f>
        <v>0.0121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HYPERLINK("http://141.218.60.56/~jnz1568/getInfo.php?workbook=14_06.xlsx&amp;sheet=U0&amp;row=4129&amp;col=6&amp;number=3.5&amp;sourceID=14","3.5")</f>
        <v>3.5</v>
      </c>
      <c r="G4129" s="4" t="str">
        <f>HYPERLINK("http://141.218.60.56/~jnz1568/getInfo.php?workbook=14_06.xlsx&amp;sheet=U0&amp;row=4129&amp;col=7&amp;number=0.0121&amp;sourceID=14","0.0121")</f>
        <v>0.0121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HYPERLINK("http://141.218.60.56/~jnz1568/getInfo.php?workbook=14_06.xlsx&amp;sheet=U0&amp;row=4130&amp;col=6&amp;number=3.6&amp;sourceID=14","3.6")</f>
        <v>3.6</v>
      </c>
      <c r="G4130" s="4" t="str">
        <f>HYPERLINK("http://141.218.60.56/~jnz1568/getInfo.php?workbook=14_06.xlsx&amp;sheet=U0&amp;row=4130&amp;col=7&amp;number=0.0121&amp;sourceID=14","0.0121")</f>
        <v>0.0121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HYPERLINK("http://141.218.60.56/~jnz1568/getInfo.php?workbook=14_06.xlsx&amp;sheet=U0&amp;row=4131&amp;col=6&amp;number=3.7&amp;sourceID=14","3.7")</f>
        <v>3.7</v>
      </c>
      <c r="G4131" s="4" t="str">
        <f>HYPERLINK("http://141.218.60.56/~jnz1568/getInfo.php?workbook=14_06.xlsx&amp;sheet=U0&amp;row=4131&amp;col=7&amp;number=0.0121&amp;sourceID=14","0.0121")</f>
        <v>0.0121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HYPERLINK("http://141.218.60.56/~jnz1568/getInfo.php?workbook=14_06.xlsx&amp;sheet=U0&amp;row=4132&amp;col=6&amp;number=3.8&amp;sourceID=14","3.8")</f>
        <v>3.8</v>
      </c>
      <c r="G4132" s="4" t="str">
        <f>HYPERLINK("http://141.218.60.56/~jnz1568/getInfo.php?workbook=14_06.xlsx&amp;sheet=U0&amp;row=4132&amp;col=7&amp;number=0.0121&amp;sourceID=14","0.0121")</f>
        <v>0.0121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HYPERLINK("http://141.218.60.56/~jnz1568/getInfo.php?workbook=14_06.xlsx&amp;sheet=U0&amp;row=4133&amp;col=6&amp;number=3.9&amp;sourceID=14","3.9")</f>
        <v>3.9</v>
      </c>
      <c r="G4133" s="4" t="str">
        <f>HYPERLINK("http://141.218.60.56/~jnz1568/getInfo.php?workbook=14_06.xlsx&amp;sheet=U0&amp;row=4133&amp;col=7&amp;number=0.012&amp;sourceID=14","0.012")</f>
        <v>0.012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HYPERLINK("http://141.218.60.56/~jnz1568/getInfo.php?workbook=14_06.xlsx&amp;sheet=U0&amp;row=4134&amp;col=6&amp;number=4&amp;sourceID=14","4")</f>
        <v>4</v>
      </c>
      <c r="G4134" s="4" t="str">
        <f>HYPERLINK("http://141.218.60.56/~jnz1568/getInfo.php?workbook=14_06.xlsx&amp;sheet=U0&amp;row=4134&amp;col=7&amp;number=0.012&amp;sourceID=14","0.012")</f>
        <v>0.012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HYPERLINK("http://141.218.60.56/~jnz1568/getInfo.php?workbook=14_06.xlsx&amp;sheet=U0&amp;row=4135&amp;col=6&amp;number=4.1&amp;sourceID=14","4.1")</f>
        <v>4.1</v>
      </c>
      <c r="G4135" s="4" t="str">
        <f>HYPERLINK("http://141.218.60.56/~jnz1568/getInfo.php?workbook=14_06.xlsx&amp;sheet=U0&amp;row=4135&amp;col=7&amp;number=0.012&amp;sourceID=14","0.012")</f>
        <v>0.012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HYPERLINK("http://141.218.60.56/~jnz1568/getInfo.php?workbook=14_06.xlsx&amp;sheet=U0&amp;row=4136&amp;col=6&amp;number=4.2&amp;sourceID=14","4.2")</f>
        <v>4.2</v>
      </c>
      <c r="G4136" s="4" t="str">
        <f>HYPERLINK("http://141.218.60.56/~jnz1568/getInfo.php?workbook=14_06.xlsx&amp;sheet=U0&amp;row=4136&amp;col=7&amp;number=0.012&amp;sourceID=14","0.012")</f>
        <v>0.012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HYPERLINK("http://141.218.60.56/~jnz1568/getInfo.php?workbook=14_06.xlsx&amp;sheet=U0&amp;row=4137&amp;col=6&amp;number=4.3&amp;sourceID=14","4.3")</f>
        <v>4.3</v>
      </c>
      <c r="G4137" s="4" t="str">
        <f>HYPERLINK("http://141.218.60.56/~jnz1568/getInfo.php?workbook=14_06.xlsx&amp;sheet=U0&amp;row=4137&amp;col=7&amp;number=0.012&amp;sourceID=14","0.012")</f>
        <v>0.012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HYPERLINK("http://141.218.60.56/~jnz1568/getInfo.php?workbook=14_06.xlsx&amp;sheet=U0&amp;row=4138&amp;col=6&amp;number=4.4&amp;sourceID=14","4.4")</f>
        <v>4.4</v>
      </c>
      <c r="G4138" s="4" t="str">
        <f>HYPERLINK("http://141.218.60.56/~jnz1568/getInfo.php?workbook=14_06.xlsx&amp;sheet=U0&amp;row=4138&amp;col=7&amp;number=0.012&amp;sourceID=14","0.012")</f>
        <v>0.012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HYPERLINK("http://141.218.60.56/~jnz1568/getInfo.php?workbook=14_06.xlsx&amp;sheet=U0&amp;row=4139&amp;col=6&amp;number=4.5&amp;sourceID=14","4.5")</f>
        <v>4.5</v>
      </c>
      <c r="G4139" s="4" t="str">
        <f>HYPERLINK("http://141.218.60.56/~jnz1568/getInfo.php?workbook=14_06.xlsx&amp;sheet=U0&amp;row=4139&amp;col=7&amp;number=0.0119&amp;sourceID=14","0.0119")</f>
        <v>0.0119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HYPERLINK("http://141.218.60.56/~jnz1568/getInfo.php?workbook=14_06.xlsx&amp;sheet=U0&amp;row=4140&amp;col=6&amp;number=4.6&amp;sourceID=14","4.6")</f>
        <v>4.6</v>
      </c>
      <c r="G4140" s="4" t="str">
        <f>HYPERLINK("http://141.218.60.56/~jnz1568/getInfo.php?workbook=14_06.xlsx&amp;sheet=U0&amp;row=4140&amp;col=7&amp;number=0.0119&amp;sourceID=14","0.0119")</f>
        <v>0.0119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HYPERLINK("http://141.218.60.56/~jnz1568/getInfo.php?workbook=14_06.xlsx&amp;sheet=U0&amp;row=4141&amp;col=6&amp;number=4.7&amp;sourceID=14","4.7")</f>
        <v>4.7</v>
      </c>
      <c r="G4141" s="4" t="str">
        <f>HYPERLINK("http://141.218.60.56/~jnz1568/getInfo.php?workbook=14_06.xlsx&amp;sheet=U0&amp;row=4141&amp;col=7&amp;number=0.0118&amp;sourceID=14","0.0118")</f>
        <v>0.0118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HYPERLINK("http://141.218.60.56/~jnz1568/getInfo.php?workbook=14_06.xlsx&amp;sheet=U0&amp;row=4142&amp;col=6&amp;number=4.8&amp;sourceID=14","4.8")</f>
        <v>4.8</v>
      </c>
      <c r="G4142" s="4" t="str">
        <f>HYPERLINK("http://141.218.60.56/~jnz1568/getInfo.php?workbook=14_06.xlsx&amp;sheet=U0&amp;row=4142&amp;col=7&amp;number=0.0118&amp;sourceID=14","0.0118")</f>
        <v>0.0118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HYPERLINK("http://141.218.60.56/~jnz1568/getInfo.php?workbook=14_06.xlsx&amp;sheet=U0&amp;row=4143&amp;col=6&amp;number=4.9&amp;sourceID=14","4.9")</f>
        <v>4.9</v>
      </c>
      <c r="G4143" s="4" t="str">
        <f>HYPERLINK("http://141.218.60.56/~jnz1568/getInfo.php?workbook=14_06.xlsx&amp;sheet=U0&amp;row=4143&amp;col=7&amp;number=0.0117&amp;sourceID=14","0.0117")</f>
        <v>0.0117</v>
      </c>
    </row>
    <row r="4144" spans="1:7">
      <c r="A4144" s="3">
        <v>14</v>
      </c>
      <c r="B4144" s="3">
        <v>6</v>
      </c>
      <c r="C4144" s="3">
        <v>5</v>
      </c>
      <c r="D4144" s="3">
        <v>39</v>
      </c>
      <c r="E4144" s="3">
        <v>1</v>
      </c>
      <c r="F4144" s="4" t="str">
        <f>HYPERLINK("http://141.218.60.56/~jnz1568/getInfo.php?workbook=14_06.xlsx&amp;sheet=U0&amp;row=4144&amp;col=6&amp;number=3&amp;sourceID=14","3")</f>
        <v>3</v>
      </c>
      <c r="G4144" s="4" t="str">
        <f>HYPERLINK("http://141.218.60.56/~jnz1568/getInfo.php?workbook=14_06.xlsx&amp;sheet=U0&amp;row=4144&amp;col=7&amp;number=0.00256&amp;sourceID=14","0.00256")</f>
        <v>0.00256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HYPERLINK("http://141.218.60.56/~jnz1568/getInfo.php?workbook=14_06.xlsx&amp;sheet=U0&amp;row=4145&amp;col=6&amp;number=3.1&amp;sourceID=14","3.1")</f>
        <v>3.1</v>
      </c>
      <c r="G4145" s="4" t="str">
        <f>HYPERLINK("http://141.218.60.56/~jnz1568/getInfo.php?workbook=14_06.xlsx&amp;sheet=U0&amp;row=4145&amp;col=7&amp;number=0.00256&amp;sourceID=14","0.00256")</f>
        <v>0.00256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HYPERLINK("http://141.218.60.56/~jnz1568/getInfo.php?workbook=14_06.xlsx&amp;sheet=U0&amp;row=4146&amp;col=6&amp;number=3.2&amp;sourceID=14","3.2")</f>
        <v>3.2</v>
      </c>
      <c r="G4146" s="4" t="str">
        <f>HYPERLINK("http://141.218.60.56/~jnz1568/getInfo.php?workbook=14_06.xlsx&amp;sheet=U0&amp;row=4146&amp;col=7&amp;number=0.00256&amp;sourceID=14","0.00256")</f>
        <v>0.00256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HYPERLINK("http://141.218.60.56/~jnz1568/getInfo.php?workbook=14_06.xlsx&amp;sheet=U0&amp;row=4147&amp;col=6&amp;number=3.3&amp;sourceID=14","3.3")</f>
        <v>3.3</v>
      </c>
      <c r="G4147" s="4" t="str">
        <f>HYPERLINK("http://141.218.60.56/~jnz1568/getInfo.php?workbook=14_06.xlsx&amp;sheet=U0&amp;row=4147&amp;col=7&amp;number=0.00256&amp;sourceID=14","0.00256")</f>
        <v>0.00256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HYPERLINK("http://141.218.60.56/~jnz1568/getInfo.php?workbook=14_06.xlsx&amp;sheet=U0&amp;row=4148&amp;col=6&amp;number=3.4&amp;sourceID=14","3.4")</f>
        <v>3.4</v>
      </c>
      <c r="G4148" s="4" t="str">
        <f>HYPERLINK("http://141.218.60.56/~jnz1568/getInfo.php?workbook=14_06.xlsx&amp;sheet=U0&amp;row=4148&amp;col=7&amp;number=0.00256&amp;sourceID=14","0.00256")</f>
        <v>0.00256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HYPERLINK("http://141.218.60.56/~jnz1568/getInfo.php?workbook=14_06.xlsx&amp;sheet=U0&amp;row=4149&amp;col=6&amp;number=3.5&amp;sourceID=14","3.5")</f>
        <v>3.5</v>
      </c>
      <c r="G4149" s="4" t="str">
        <f>HYPERLINK("http://141.218.60.56/~jnz1568/getInfo.php?workbook=14_06.xlsx&amp;sheet=U0&amp;row=4149&amp;col=7&amp;number=0.00256&amp;sourceID=14","0.00256")</f>
        <v>0.00256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HYPERLINK("http://141.218.60.56/~jnz1568/getInfo.php?workbook=14_06.xlsx&amp;sheet=U0&amp;row=4150&amp;col=6&amp;number=3.6&amp;sourceID=14","3.6")</f>
        <v>3.6</v>
      </c>
      <c r="G4150" s="4" t="str">
        <f>HYPERLINK("http://141.218.60.56/~jnz1568/getInfo.php?workbook=14_06.xlsx&amp;sheet=U0&amp;row=4150&amp;col=7&amp;number=0.00256&amp;sourceID=14","0.00256")</f>
        <v>0.00256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HYPERLINK("http://141.218.60.56/~jnz1568/getInfo.php?workbook=14_06.xlsx&amp;sheet=U0&amp;row=4151&amp;col=6&amp;number=3.7&amp;sourceID=14","3.7")</f>
        <v>3.7</v>
      </c>
      <c r="G4151" s="4" t="str">
        <f>HYPERLINK("http://141.218.60.56/~jnz1568/getInfo.php?workbook=14_06.xlsx&amp;sheet=U0&amp;row=4151&amp;col=7&amp;number=0.00255&amp;sourceID=14","0.00255")</f>
        <v>0.00255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HYPERLINK("http://141.218.60.56/~jnz1568/getInfo.php?workbook=14_06.xlsx&amp;sheet=U0&amp;row=4152&amp;col=6&amp;number=3.8&amp;sourceID=14","3.8")</f>
        <v>3.8</v>
      </c>
      <c r="G4152" s="4" t="str">
        <f>HYPERLINK("http://141.218.60.56/~jnz1568/getInfo.php?workbook=14_06.xlsx&amp;sheet=U0&amp;row=4152&amp;col=7&amp;number=0.00255&amp;sourceID=14","0.00255")</f>
        <v>0.00255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HYPERLINK("http://141.218.60.56/~jnz1568/getInfo.php?workbook=14_06.xlsx&amp;sheet=U0&amp;row=4153&amp;col=6&amp;number=3.9&amp;sourceID=14","3.9")</f>
        <v>3.9</v>
      </c>
      <c r="G4153" s="4" t="str">
        <f>HYPERLINK("http://141.218.60.56/~jnz1568/getInfo.php?workbook=14_06.xlsx&amp;sheet=U0&amp;row=4153&amp;col=7&amp;number=0.00255&amp;sourceID=14","0.00255")</f>
        <v>0.00255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HYPERLINK("http://141.218.60.56/~jnz1568/getInfo.php?workbook=14_06.xlsx&amp;sheet=U0&amp;row=4154&amp;col=6&amp;number=4&amp;sourceID=14","4")</f>
        <v>4</v>
      </c>
      <c r="G4154" s="4" t="str">
        <f>HYPERLINK("http://141.218.60.56/~jnz1568/getInfo.php?workbook=14_06.xlsx&amp;sheet=U0&amp;row=4154&amp;col=7&amp;number=0.00255&amp;sourceID=14","0.00255")</f>
        <v>0.00255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HYPERLINK("http://141.218.60.56/~jnz1568/getInfo.php?workbook=14_06.xlsx&amp;sheet=U0&amp;row=4155&amp;col=6&amp;number=4.1&amp;sourceID=14","4.1")</f>
        <v>4.1</v>
      </c>
      <c r="G4155" s="4" t="str">
        <f>HYPERLINK("http://141.218.60.56/~jnz1568/getInfo.php?workbook=14_06.xlsx&amp;sheet=U0&amp;row=4155&amp;col=7&amp;number=0.00255&amp;sourceID=14","0.00255")</f>
        <v>0.00255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HYPERLINK("http://141.218.60.56/~jnz1568/getInfo.php?workbook=14_06.xlsx&amp;sheet=U0&amp;row=4156&amp;col=6&amp;number=4.2&amp;sourceID=14","4.2")</f>
        <v>4.2</v>
      </c>
      <c r="G4156" s="4" t="str">
        <f>HYPERLINK("http://141.218.60.56/~jnz1568/getInfo.php?workbook=14_06.xlsx&amp;sheet=U0&amp;row=4156&amp;col=7&amp;number=0.00255&amp;sourceID=14","0.00255")</f>
        <v>0.00255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HYPERLINK("http://141.218.60.56/~jnz1568/getInfo.php?workbook=14_06.xlsx&amp;sheet=U0&amp;row=4157&amp;col=6&amp;number=4.3&amp;sourceID=14","4.3")</f>
        <v>4.3</v>
      </c>
      <c r="G4157" s="4" t="str">
        <f>HYPERLINK("http://141.218.60.56/~jnz1568/getInfo.php?workbook=14_06.xlsx&amp;sheet=U0&amp;row=4157&amp;col=7&amp;number=0.00254&amp;sourceID=14","0.00254")</f>
        <v>0.00254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HYPERLINK("http://141.218.60.56/~jnz1568/getInfo.php?workbook=14_06.xlsx&amp;sheet=U0&amp;row=4158&amp;col=6&amp;number=4.4&amp;sourceID=14","4.4")</f>
        <v>4.4</v>
      </c>
      <c r="G4158" s="4" t="str">
        <f>HYPERLINK("http://141.218.60.56/~jnz1568/getInfo.php?workbook=14_06.xlsx&amp;sheet=U0&amp;row=4158&amp;col=7&amp;number=0.00254&amp;sourceID=14","0.00254")</f>
        <v>0.00254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HYPERLINK("http://141.218.60.56/~jnz1568/getInfo.php?workbook=14_06.xlsx&amp;sheet=U0&amp;row=4159&amp;col=6&amp;number=4.5&amp;sourceID=14","4.5")</f>
        <v>4.5</v>
      </c>
      <c r="G4159" s="4" t="str">
        <f>HYPERLINK("http://141.218.60.56/~jnz1568/getInfo.php?workbook=14_06.xlsx&amp;sheet=U0&amp;row=4159&amp;col=7&amp;number=0.00253&amp;sourceID=14","0.00253")</f>
        <v>0.00253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HYPERLINK("http://141.218.60.56/~jnz1568/getInfo.php?workbook=14_06.xlsx&amp;sheet=U0&amp;row=4160&amp;col=6&amp;number=4.6&amp;sourceID=14","4.6")</f>
        <v>4.6</v>
      </c>
      <c r="G4160" s="4" t="str">
        <f>HYPERLINK("http://141.218.60.56/~jnz1568/getInfo.php?workbook=14_06.xlsx&amp;sheet=U0&amp;row=4160&amp;col=7&amp;number=0.00253&amp;sourceID=14","0.00253")</f>
        <v>0.00253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HYPERLINK("http://141.218.60.56/~jnz1568/getInfo.php?workbook=14_06.xlsx&amp;sheet=U0&amp;row=4161&amp;col=6&amp;number=4.7&amp;sourceID=14","4.7")</f>
        <v>4.7</v>
      </c>
      <c r="G4161" s="4" t="str">
        <f>HYPERLINK("http://141.218.60.56/~jnz1568/getInfo.php?workbook=14_06.xlsx&amp;sheet=U0&amp;row=4161&amp;col=7&amp;number=0.00252&amp;sourceID=14","0.00252")</f>
        <v>0.00252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HYPERLINK("http://141.218.60.56/~jnz1568/getInfo.php?workbook=14_06.xlsx&amp;sheet=U0&amp;row=4162&amp;col=6&amp;number=4.8&amp;sourceID=14","4.8")</f>
        <v>4.8</v>
      </c>
      <c r="G4162" s="4" t="str">
        <f>HYPERLINK("http://141.218.60.56/~jnz1568/getInfo.php?workbook=14_06.xlsx&amp;sheet=U0&amp;row=4162&amp;col=7&amp;number=0.00251&amp;sourceID=14","0.00251")</f>
        <v>0.00251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HYPERLINK("http://141.218.60.56/~jnz1568/getInfo.php?workbook=14_06.xlsx&amp;sheet=U0&amp;row=4163&amp;col=6&amp;number=4.9&amp;sourceID=14","4.9")</f>
        <v>4.9</v>
      </c>
      <c r="G4163" s="4" t="str">
        <f>HYPERLINK("http://141.218.60.56/~jnz1568/getInfo.php?workbook=14_06.xlsx&amp;sheet=U0&amp;row=4163&amp;col=7&amp;number=0.00249&amp;sourceID=14","0.00249")</f>
        <v>0.00249</v>
      </c>
    </row>
    <row r="4164" spans="1:7">
      <c r="A4164" s="3">
        <v>14</v>
      </c>
      <c r="B4164" s="3">
        <v>6</v>
      </c>
      <c r="C4164" s="3">
        <v>5</v>
      </c>
      <c r="D4164" s="3">
        <v>40</v>
      </c>
      <c r="E4164" s="3">
        <v>1</v>
      </c>
      <c r="F4164" s="4" t="str">
        <f>HYPERLINK("http://141.218.60.56/~jnz1568/getInfo.php?workbook=14_06.xlsx&amp;sheet=U0&amp;row=4164&amp;col=6&amp;number=3&amp;sourceID=14","3")</f>
        <v>3</v>
      </c>
      <c r="G4164" s="4" t="str">
        <f>HYPERLINK("http://141.218.60.56/~jnz1568/getInfo.php?workbook=14_06.xlsx&amp;sheet=U0&amp;row=4164&amp;col=7&amp;number=0.00522&amp;sourceID=14","0.00522")</f>
        <v>0.00522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HYPERLINK("http://141.218.60.56/~jnz1568/getInfo.php?workbook=14_06.xlsx&amp;sheet=U0&amp;row=4165&amp;col=6&amp;number=3.1&amp;sourceID=14","3.1")</f>
        <v>3.1</v>
      </c>
      <c r="G4165" s="4" t="str">
        <f>HYPERLINK("http://141.218.60.56/~jnz1568/getInfo.php?workbook=14_06.xlsx&amp;sheet=U0&amp;row=4165&amp;col=7&amp;number=0.00522&amp;sourceID=14","0.00522")</f>
        <v>0.00522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HYPERLINK("http://141.218.60.56/~jnz1568/getInfo.php?workbook=14_06.xlsx&amp;sheet=U0&amp;row=4166&amp;col=6&amp;number=3.2&amp;sourceID=14","3.2")</f>
        <v>3.2</v>
      </c>
      <c r="G4166" s="4" t="str">
        <f>HYPERLINK("http://141.218.60.56/~jnz1568/getInfo.php?workbook=14_06.xlsx&amp;sheet=U0&amp;row=4166&amp;col=7&amp;number=0.00522&amp;sourceID=14","0.00522")</f>
        <v>0.00522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HYPERLINK("http://141.218.60.56/~jnz1568/getInfo.php?workbook=14_06.xlsx&amp;sheet=U0&amp;row=4167&amp;col=6&amp;number=3.3&amp;sourceID=14","3.3")</f>
        <v>3.3</v>
      </c>
      <c r="G4167" s="4" t="str">
        <f>HYPERLINK("http://141.218.60.56/~jnz1568/getInfo.php?workbook=14_06.xlsx&amp;sheet=U0&amp;row=4167&amp;col=7&amp;number=0.00521&amp;sourceID=14","0.00521")</f>
        <v>0.00521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HYPERLINK("http://141.218.60.56/~jnz1568/getInfo.php?workbook=14_06.xlsx&amp;sheet=U0&amp;row=4168&amp;col=6&amp;number=3.4&amp;sourceID=14","3.4")</f>
        <v>3.4</v>
      </c>
      <c r="G4168" s="4" t="str">
        <f>HYPERLINK("http://141.218.60.56/~jnz1568/getInfo.php?workbook=14_06.xlsx&amp;sheet=U0&amp;row=4168&amp;col=7&amp;number=0.00521&amp;sourceID=14","0.00521")</f>
        <v>0.00521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HYPERLINK("http://141.218.60.56/~jnz1568/getInfo.php?workbook=14_06.xlsx&amp;sheet=U0&amp;row=4169&amp;col=6&amp;number=3.5&amp;sourceID=14","3.5")</f>
        <v>3.5</v>
      </c>
      <c r="G4169" s="4" t="str">
        <f>HYPERLINK("http://141.218.60.56/~jnz1568/getInfo.php?workbook=14_06.xlsx&amp;sheet=U0&amp;row=4169&amp;col=7&amp;number=0.00521&amp;sourceID=14","0.00521")</f>
        <v>0.00521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HYPERLINK("http://141.218.60.56/~jnz1568/getInfo.php?workbook=14_06.xlsx&amp;sheet=U0&amp;row=4170&amp;col=6&amp;number=3.6&amp;sourceID=14","3.6")</f>
        <v>3.6</v>
      </c>
      <c r="G4170" s="4" t="str">
        <f>HYPERLINK("http://141.218.60.56/~jnz1568/getInfo.php?workbook=14_06.xlsx&amp;sheet=U0&amp;row=4170&amp;col=7&amp;number=0.00521&amp;sourceID=14","0.00521")</f>
        <v>0.00521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HYPERLINK("http://141.218.60.56/~jnz1568/getInfo.php?workbook=14_06.xlsx&amp;sheet=U0&amp;row=4171&amp;col=6&amp;number=3.7&amp;sourceID=14","3.7")</f>
        <v>3.7</v>
      </c>
      <c r="G4171" s="4" t="str">
        <f>HYPERLINK("http://141.218.60.56/~jnz1568/getInfo.php?workbook=14_06.xlsx&amp;sheet=U0&amp;row=4171&amp;col=7&amp;number=0.00521&amp;sourceID=14","0.00521")</f>
        <v>0.00521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HYPERLINK("http://141.218.60.56/~jnz1568/getInfo.php?workbook=14_06.xlsx&amp;sheet=U0&amp;row=4172&amp;col=6&amp;number=3.8&amp;sourceID=14","3.8")</f>
        <v>3.8</v>
      </c>
      <c r="G4172" s="4" t="str">
        <f>HYPERLINK("http://141.218.60.56/~jnz1568/getInfo.php?workbook=14_06.xlsx&amp;sheet=U0&amp;row=4172&amp;col=7&amp;number=0.00521&amp;sourceID=14","0.00521")</f>
        <v>0.00521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HYPERLINK("http://141.218.60.56/~jnz1568/getInfo.php?workbook=14_06.xlsx&amp;sheet=U0&amp;row=4173&amp;col=6&amp;number=3.9&amp;sourceID=14","3.9")</f>
        <v>3.9</v>
      </c>
      <c r="G4173" s="4" t="str">
        <f>HYPERLINK("http://141.218.60.56/~jnz1568/getInfo.php?workbook=14_06.xlsx&amp;sheet=U0&amp;row=4173&amp;col=7&amp;number=0.0052&amp;sourceID=14","0.0052")</f>
        <v>0.0052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HYPERLINK("http://141.218.60.56/~jnz1568/getInfo.php?workbook=14_06.xlsx&amp;sheet=U0&amp;row=4174&amp;col=6&amp;number=4&amp;sourceID=14","4")</f>
        <v>4</v>
      </c>
      <c r="G4174" s="4" t="str">
        <f>HYPERLINK("http://141.218.60.56/~jnz1568/getInfo.php?workbook=14_06.xlsx&amp;sheet=U0&amp;row=4174&amp;col=7&amp;number=0.0052&amp;sourceID=14","0.0052")</f>
        <v>0.0052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HYPERLINK("http://141.218.60.56/~jnz1568/getInfo.php?workbook=14_06.xlsx&amp;sheet=U0&amp;row=4175&amp;col=6&amp;number=4.1&amp;sourceID=14","4.1")</f>
        <v>4.1</v>
      </c>
      <c r="G4175" s="4" t="str">
        <f>HYPERLINK("http://141.218.60.56/~jnz1568/getInfo.php?workbook=14_06.xlsx&amp;sheet=U0&amp;row=4175&amp;col=7&amp;number=0.00519&amp;sourceID=14","0.00519")</f>
        <v>0.00519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HYPERLINK("http://141.218.60.56/~jnz1568/getInfo.php?workbook=14_06.xlsx&amp;sheet=U0&amp;row=4176&amp;col=6&amp;number=4.2&amp;sourceID=14","4.2")</f>
        <v>4.2</v>
      </c>
      <c r="G4176" s="4" t="str">
        <f>HYPERLINK("http://141.218.60.56/~jnz1568/getInfo.php?workbook=14_06.xlsx&amp;sheet=U0&amp;row=4176&amp;col=7&amp;number=0.00519&amp;sourceID=14","0.00519")</f>
        <v>0.00519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HYPERLINK("http://141.218.60.56/~jnz1568/getInfo.php?workbook=14_06.xlsx&amp;sheet=U0&amp;row=4177&amp;col=6&amp;number=4.3&amp;sourceID=14","4.3")</f>
        <v>4.3</v>
      </c>
      <c r="G4177" s="4" t="str">
        <f>HYPERLINK("http://141.218.60.56/~jnz1568/getInfo.php?workbook=14_06.xlsx&amp;sheet=U0&amp;row=4177&amp;col=7&amp;number=0.00518&amp;sourceID=14","0.00518")</f>
        <v>0.00518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HYPERLINK("http://141.218.60.56/~jnz1568/getInfo.php?workbook=14_06.xlsx&amp;sheet=U0&amp;row=4178&amp;col=6&amp;number=4.4&amp;sourceID=14","4.4")</f>
        <v>4.4</v>
      </c>
      <c r="G4178" s="4" t="str">
        <f>HYPERLINK("http://141.218.60.56/~jnz1568/getInfo.php?workbook=14_06.xlsx&amp;sheet=U0&amp;row=4178&amp;col=7&amp;number=0.00517&amp;sourceID=14","0.00517")</f>
        <v>0.00517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HYPERLINK("http://141.218.60.56/~jnz1568/getInfo.php?workbook=14_06.xlsx&amp;sheet=U0&amp;row=4179&amp;col=6&amp;number=4.5&amp;sourceID=14","4.5")</f>
        <v>4.5</v>
      </c>
      <c r="G4179" s="4" t="str">
        <f>HYPERLINK("http://141.218.60.56/~jnz1568/getInfo.php?workbook=14_06.xlsx&amp;sheet=U0&amp;row=4179&amp;col=7&amp;number=0.00515&amp;sourceID=14","0.00515")</f>
        <v>0.00515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HYPERLINK("http://141.218.60.56/~jnz1568/getInfo.php?workbook=14_06.xlsx&amp;sheet=U0&amp;row=4180&amp;col=6&amp;number=4.6&amp;sourceID=14","4.6")</f>
        <v>4.6</v>
      </c>
      <c r="G4180" s="4" t="str">
        <f>HYPERLINK("http://141.218.60.56/~jnz1568/getInfo.php?workbook=14_06.xlsx&amp;sheet=U0&amp;row=4180&amp;col=7&amp;number=0.00514&amp;sourceID=14","0.00514")</f>
        <v>0.00514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HYPERLINK("http://141.218.60.56/~jnz1568/getInfo.php?workbook=14_06.xlsx&amp;sheet=U0&amp;row=4181&amp;col=6&amp;number=4.7&amp;sourceID=14","4.7")</f>
        <v>4.7</v>
      </c>
      <c r="G4181" s="4" t="str">
        <f>HYPERLINK("http://141.218.60.56/~jnz1568/getInfo.php?workbook=14_06.xlsx&amp;sheet=U0&amp;row=4181&amp;col=7&amp;number=0.00511&amp;sourceID=14","0.00511")</f>
        <v>0.00511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HYPERLINK("http://141.218.60.56/~jnz1568/getInfo.php?workbook=14_06.xlsx&amp;sheet=U0&amp;row=4182&amp;col=6&amp;number=4.8&amp;sourceID=14","4.8")</f>
        <v>4.8</v>
      </c>
      <c r="G4182" s="4" t="str">
        <f>HYPERLINK("http://141.218.60.56/~jnz1568/getInfo.php?workbook=14_06.xlsx&amp;sheet=U0&amp;row=4182&amp;col=7&amp;number=0.00509&amp;sourceID=14","0.00509")</f>
        <v>0.00509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HYPERLINK("http://141.218.60.56/~jnz1568/getInfo.php?workbook=14_06.xlsx&amp;sheet=U0&amp;row=4183&amp;col=6&amp;number=4.9&amp;sourceID=14","4.9")</f>
        <v>4.9</v>
      </c>
      <c r="G4183" s="4" t="str">
        <f>HYPERLINK("http://141.218.60.56/~jnz1568/getInfo.php?workbook=14_06.xlsx&amp;sheet=U0&amp;row=4183&amp;col=7&amp;number=0.00505&amp;sourceID=14","0.00505")</f>
        <v>0.00505</v>
      </c>
    </row>
    <row r="4184" spans="1:7">
      <c r="A4184" s="3">
        <v>14</v>
      </c>
      <c r="B4184" s="3">
        <v>6</v>
      </c>
      <c r="C4184" s="3">
        <v>5</v>
      </c>
      <c r="D4184" s="3">
        <v>41</v>
      </c>
      <c r="E4184" s="3">
        <v>1</v>
      </c>
      <c r="F4184" s="4" t="str">
        <f>HYPERLINK("http://141.218.60.56/~jnz1568/getInfo.php?workbook=14_06.xlsx&amp;sheet=U0&amp;row=4184&amp;col=6&amp;number=3&amp;sourceID=14","3")</f>
        <v>3</v>
      </c>
      <c r="G4184" s="4" t="str">
        <f>HYPERLINK("http://141.218.60.56/~jnz1568/getInfo.php?workbook=14_06.xlsx&amp;sheet=U0&amp;row=4184&amp;col=7&amp;number=0.00541&amp;sourceID=14","0.00541")</f>
        <v>0.00541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HYPERLINK("http://141.218.60.56/~jnz1568/getInfo.php?workbook=14_06.xlsx&amp;sheet=U0&amp;row=4185&amp;col=6&amp;number=3.1&amp;sourceID=14","3.1")</f>
        <v>3.1</v>
      </c>
      <c r="G4185" s="4" t="str">
        <f>HYPERLINK("http://141.218.60.56/~jnz1568/getInfo.php?workbook=14_06.xlsx&amp;sheet=U0&amp;row=4185&amp;col=7&amp;number=0.00541&amp;sourceID=14","0.00541")</f>
        <v>0.00541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HYPERLINK("http://141.218.60.56/~jnz1568/getInfo.php?workbook=14_06.xlsx&amp;sheet=U0&amp;row=4186&amp;col=6&amp;number=3.2&amp;sourceID=14","3.2")</f>
        <v>3.2</v>
      </c>
      <c r="G4186" s="4" t="str">
        <f>HYPERLINK("http://141.218.60.56/~jnz1568/getInfo.php?workbook=14_06.xlsx&amp;sheet=U0&amp;row=4186&amp;col=7&amp;number=0.00541&amp;sourceID=14","0.00541")</f>
        <v>0.00541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HYPERLINK("http://141.218.60.56/~jnz1568/getInfo.php?workbook=14_06.xlsx&amp;sheet=U0&amp;row=4187&amp;col=6&amp;number=3.3&amp;sourceID=14","3.3")</f>
        <v>3.3</v>
      </c>
      <c r="G4187" s="4" t="str">
        <f>HYPERLINK("http://141.218.60.56/~jnz1568/getInfo.php?workbook=14_06.xlsx&amp;sheet=U0&amp;row=4187&amp;col=7&amp;number=0.0054&amp;sourceID=14","0.0054")</f>
        <v>0.0054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HYPERLINK("http://141.218.60.56/~jnz1568/getInfo.php?workbook=14_06.xlsx&amp;sheet=U0&amp;row=4188&amp;col=6&amp;number=3.4&amp;sourceID=14","3.4")</f>
        <v>3.4</v>
      </c>
      <c r="G4188" s="4" t="str">
        <f>HYPERLINK("http://141.218.60.56/~jnz1568/getInfo.php?workbook=14_06.xlsx&amp;sheet=U0&amp;row=4188&amp;col=7&amp;number=0.0054&amp;sourceID=14","0.0054")</f>
        <v>0.0054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HYPERLINK("http://141.218.60.56/~jnz1568/getInfo.php?workbook=14_06.xlsx&amp;sheet=U0&amp;row=4189&amp;col=6&amp;number=3.5&amp;sourceID=14","3.5")</f>
        <v>3.5</v>
      </c>
      <c r="G4189" s="4" t="str">
        <f>HYPERLINK("http://141.218.60.56/~jnz1568/getInfo.php?workbook=14_06.xlsx&amp;sheet=U0&amp;row=4189&amp;col=7&amp;number=0.0054&amp;sourceID=14","0.0054")</f>
        <v>0.0054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HYPERLINK("http://141.218.60.56/~jnz1568/getInfo.php?workbook=14_06.xlsx&amp;sheet=U0&amp;row=4190&amp;col=6&amp;number=3.6&amp;sourceID=14","3.6")</f>
        <v>3.6</v>
      </c>
      <c r="G4190" s="4" t="str">
        <f>HYPERLINK("http://141.218.60.56/~jnz1568/getInfo.php?workbook=14_06.xlsx&amp;sheet=U0&amp;row=4190&amp;col=7&amp;number=0.0054&amp;sourceID=14","0.0054")</f>
        <v>0.0054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HYPERLINK("http://141.218.60.56/~jnz1568/getInfo.php?workbook=14_06.xlsx&amp;sheet=U0&amp;row=4191&amp;col=6&amp;number=3.7&amp;sourceID=14","3.7")</f>
        <v>3.7</v>
      </c>
      <c r="G4191" s="4" t="str">
        <f>HYPERLINK("http://141.218.60.56/~jnz1568/getInfo.php?workbook=14_06.xlsx&amp;sheet=U0&amp;row=4191&amp;col=7&amp;number=0.0054&amp;sourceID=14","0.0054")</f>
        <v>0.0054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HYPERLINK("http://141.218.60.56/~jnz1568/getInfo.php?workbook=14_06.xlsx&amp;sheet=U0&amp;row=4192&amp;col=6&amp;number=3.8&amp;sourceID=14","3.8")</f>
        <v>3.8</v>
      </c>
      <c r="G4192" s="4" t="str">
        <f>HYPERLINK("http://141.218.60.56/~jnz1568/getInfo.php?workbook=14_06.xlsx&amp;sheet=U0&amp;row=4192&amp;col=7&amp;number=0.00539&amp;sourceID=14","0.00539")</f>
        <v>0.00539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HYPERLINK("http://141.218.60.56/~jnz1568/getInfo.php?workbook=14_06.xlsx&amp;sheet=U0&amp;row=4193&amp;col=6&amp;number=3.9&amp;sourceID=14","3.9")</f>
        <v>3.9</v>
      </c>
      <c r="G4193" s="4" t="str">
        <f>HYPERLINK("http://141.218.60.56/~jnz1568/getInfo.php?workbook=14_06.xlsx&amp;sheet=U0&amp;row=4193&amp;col=7&amp;number=0.00539&amp;sourceID=14","0.00539")</f>
        <v>0.00539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HYPERLINK("http://141.218.60.56/~jnz1568/getInfo.php?workbook=14_06.xlsx&amp;sheet=U0&amp;row=4194&amp;col=6&amp;number=4&amp;sourceID=14","4")</f>
        <v>4</v>
      </c>
      <c r="G4194" s="4" t="str">
        <f>HYPERLINK("http://141.218.60.56/~jnz1568/getInfo.php?workbook=14_06.xlsx&amp;sheet=U0&amp;row=4194&amp;col=7&amp;number=0.00539&amp;sourceID=14","0.00539")</f>
        <v>0.00539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HYPERLINK("http://141.218.60.56/~jnz1568/getInfo.php?workbook=14_06.xlsx&amp;sheet=U0&amp;row=4195&amp;col=6&amp;number=4.1&amp;sourceID=14","4.1")</f>
        <v>4.1</v>
      </c>
      <c r="G4195" s="4" t="str">
        <f>HYPERLINK("http://141.218.60.56/~jnz1568/getInfo.php?workbook=14_06.xlsx&amp;sheet=U0&amp;row=4195&amp;col=7&amp;number=0.00538&amp;sourceID=14","0.00538")</f>
        <v>0.00538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HYPERLINK("http://141.218.60.56/~jnz1568/getInfo.php?workbook=14_06.xlsx&amp;sheet=U0&amp;row=4196&amp;col=6&amp;number=4.2&amp;sourceID=14","4.2")</f>
        <v>4.2</v>
      </c>
      <c r="G4196" s="4" t="str">
        <f>HYPERLINK("http://141.218.60.56/~jnz1568/getInfo.php?workbook=14_06.xlsx&amp;sheet=U0&amp;row=4196&amp;col=7&amp;number=0.00537&amp;sourceID=14","0.00537")</f>
        <v>0.00537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HYPERLINK("http://141.218.60.56/~jnz1568/getInfo.php?workbook=14_06.xlsx&amp;sheet=U0&amp;row=4197&amp;col=6&amp;number=4.3&amp;sourceID=14","4.3")</f>
        <v>4.3</v>
      </c>
      <c r="G4197" s="4" t="str">
        <f>HYPERLINK("http://141.218.60.56/~jnz1568/getInfo.php?workbook=14_06.xlsx&amp;sheet=U0&amp;row=4197&amp;col=7&amp;number=0.00536&amp;sourceID=14","0.00536")</f>
        <v>0.00536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HYPERLINK("http://141.218.60.56/~jnz1568/getInfo.php?workbook=14_06.xlsx&amp;sheet=U0&amp;row=4198&amp;col=6&amp;number=4.4&amp;sourceID=14","4.4")</f>
        <v>4.4</v>
      </c>
      <c r="G4198" s="4" t="str">
        <f>HYPERLINK("http://141.218.60.56/~jnz1568/getInfo.php?workbook=14_06.xlsx&amp;sheet=U0&amp;row=4198&amp;col=7&amp;number=0.00535&amp;sourceID=14","0.00535")</f>
        <v>0.00535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HYPERLINK("http://141.218.60.56/~jnz1568/getInfo.php?workbook=14_06.xlsx&amp;sheet=U0&amp;row=4199&amp;col=6&amp;number=4.5&amp;sourceID=14","4.5")</f>
        <v>4.5</v>
      </c>
      <c r="G4199" s="4" t="str">
        <f>HYPERLINK("http://141.218.60.56/~jnz1568/getInfo.php?workbook=14_06.xlsx&amp;sheet=U0&amp;row=4199&amp;col=7&amp;number=0.00534&amp;sourceID=14","0.00534")</f>
        <v>0.00534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HYPERLINK("http://141.218.60.56/~jnz1568/getInfo.php?workbook=14_06.xlsx&amp;sheet=U0&amp;row=4200&amp;col=6&amp;number=4.6&amp;sourceID=14","4.6")</f>
        <v>4.6</v>
      </c>
      <c r="G4200" s="4" t="str">
        <f>HYPERLINK("http://141.218.60.56/~jnz1568/getInfo.php?workbook=14_06.xlsx&amp;sheet=U0&amp;row=4200&amp;col=7&amp;number=0.00532&amp;sourceID=14","0.00532")</f>
        <v>0.00532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HYPERLINK("http://141.218.60.56/~jnz1568/getInfo.php?workbook=14_06.xlsx&amp;sheet=U0&amp;row=4201&amp;col=6&amp;number=4.7&amp;sourceID=14","4.7")</f>
        <v>4.7</v>
      </c>
      <c r="G4201" s="4" t="str">
        <f>HYPERLINK("http://141.218.60.56/~jnz1568/getInfo.php?workbook=14_06.xlsx&amp;sheet=U0&amp;row=4201&amp;col=7&amp;number=0.0053&amp;sourceID=14","0.0053")</f>
        <v>0.0053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HYPERLINK("http://141.218.60.56/~jnz1568/getInfo.php?workbook=14_06.xlsx&amp;sheet=U0&amp;row=4202&amp;col=6&amp;number=4.8&amp;sourceID=14","4.8")</f>
        <v>4.8</v>
      </c>
      <c r="G4202" s="4" t="str">
        <f>HYPERLINK("http://141.218.60.56/~jnz1568/getInfo.php?workbook=14_06.xlsx&amp;sheet=U0&amp;row=4202&amp;col=7&amp;number=0.00527&amp;sourceID=14","0.00527")</f>
        <v>0.00527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HYPERLINK("http://141.218.60.56/~jnz1568/getInfo.php?workbook=14_06.xlsx&amp;sheet=U0&amp;row=4203&amp;col=6&amp;number=4.9&amp;sourceID=14","4.9")</f>
        <v>4.9</v>
      </c>
      <c r="G4203" s="4" t="str">
        <f>HYPERLINK("http://141.218.60.56/~jnz1568/getInfo.php?workbook=14_06.xlsx&amp;sheet=U0&amp;row=4203&amp;col=7&amp;number=0.00523&amp;sourceID=14","0.00523")</f>
        <v>0.00523</v>
      </c>
    </row>
    <row r="4204" spans="1:7">
      <c r="A4204" s="3">
        <v>14</v>
      </c>
      <c r="B4204" s="3">
        <v>6</v>
      </c>
      <c r="C4204" s="3">
        <v>5</v>
      </c>
      <c r="D4204" s="3">
        <v>42</v>
      </c>
      <c r="E4204" s="3">
        <v>1</v>
      </c>
      <c r="F4204" s="4" t="str">
        <f>HYPERLINK("http://141.218.60.56/~jnz1568/getInfo.php?workbook=14_06.xlsx&amp;sheet=U0&amp;row=4204&amp;col=6&amp;number=3&amp;sourceID=14","3")</f>
        <v>3</v>
      </c>
      <c r="G4204" s="4" t="str">
        <f>HYPERLINK("http://141.218.60.56/~jnz1568/getInfo.php?workbook=14_06.xlsx&amp;sheet=U0&amp;row=4204&amp;col=7&amp;number=0.0129&amp;sourceID=14","0.0129")</f>
        <v>0.0129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HYPERLINK("http://141.218.60.56/~jnz1568/getInfo.php?workbook=14_06.xlsx&amp;sheet=U0&amp;row=4205&amp;col=6&amp;number=3.1&amp;sourceID=14","3.1")</f>
        <v>3.1</v>
      </c>
      <c r="G4205" s="4" t="str">
        <f>HYPERLINK("http://141.218.60.56/~jnz1568/getInfo.php?workbook=14_06.xlsx&amp;sheet=U0&amp;row=4205&amp;col=7&amp;number=0.0129&amp;sourceID=14","0.0129")</f>
        <v>0.0129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HYPERLINK("http://141.218.60.56/~jnz1568/getInfo.php?workbook=14_06.xlsx&amp;sheet=U0&amp;row=4206&amp;col=6&amp;number=3.2&amp;sourceID=14","3.2")</f>
        <v>3.2</v>
      </c>
      <c r="G4206" s="4" t="str">
        <f>HYPERLINK("http://141.218.60.56/~jnz1568/getInfo.php?workbook=14_06.xlsx&amp;sheet=U0&amp;row=4206&amp;col=7&amp;number=0.0129&amp;sourceID=14","0.0129")</f>
        <v>0.0129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HYPERLINK("http://141.218.60.56/~jnz1568/getInfo.php?workbook=14_06.xlsx&amp;sheet=U0&amp;row=4207&amp;col=6&amp;number=3.3&amp;sourceID=14","3.3")</f>
        <v>3.3</v>
      </c>
      <c r="G4207" s="4" t="str">
        <f>HYPERLINK("http://141.218.60.56/~jnz1568/getInfo.php?workbook=14_06.xlsx&amp;sheet=U0&amp;row=4207&amp;col=7&amp;number=0.0129&amp;sourceID=14","0.0129")</f>
        <v>0.0129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HYPERLINK("http://141.218.60.56/~jnz1568/getInfo.php?workbook=14_06.xlsx&amp;sheet=U0&amp;row=4208&amp;col=6&amp;number=3.4&amp;sourceID=14","3.4")</f>
        <v>3.4</v>
      </c>
      <c r="G4208" s="4" t="str">
        <f>HYPERLINK("http://141.218.60.56/~jnz1568/getInfo.php?workbook=14_06.xlsx&amp;sheet=U0&amp;row=4208&amp;col=7&amp;number=0.0129&amp;sourceID=14","0.0129")</f>
        <v>0.0129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HYPERLINK("http://141.218.60.56/~jnz1568/getInfo.php?workbook=14_06.xlsx&amp;sheet=U0&amp;row=4209&amp;col=6&amp;number=3.5&amp;sourceID=14","3.5")</f>
        <v>3.5</v>
      </c>
      <c r="G4209" s="4" t="str">
        <f>HYPERLINK("http://141.218.60.56/~jnz1568/getInfo.php?workbook=14_06.xlsx&amp;sheet=U0&amp;row=4209&amp;col=7&amp;number=0.0129&amp;sourceID=14","0.0129")</f>
        <v>0.0129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HYPERLINK("http://141.218.60.56/~jnz1568/getInfo.php?workbook=14_06.xlsx&amp;sheet=U0&amp;row=4210&amp;col=6&amp;number=3.6&amp;sourceID=14","3.6")</f>
        <v>3.6</v>
      </c>
      <c r="G4210" s="4" t="str">
        <f>HYPERLINK("http://141.218.60.56/~jnz1568/getInfo.php?workbook=14_06.xlsx&amp;sheet=U0&amp;row=4210&amp;col=7&amp;number=0.0129&amp;sourceID=14","0.0129")</f>
        <v>0.0129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HYPERLINK("http://141.218.60.56/~jnz1568/getInfo.php?workbook=14_06.xlsx&amp;sheet=U0&amp;row=4211&amp;col=6&amp;number=3.7&amp;sourceID=14","3.7")</f>
        <v>3.7</v>
      </c>
      <c r="G4211" s="4" t="str">
        <f>HYPERLINK("http://141.218.60.56/~jnz1568/getInfo.php?workbook=14_06.xlsx&amp;sheet=U0&amp;row=4211&amp;col=7&amp;number=0.0129&amp;sourceID=14","0.0129")</f>
        <v>0.0129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HYPERLINK("http://141.218.60.56/~jnz1568/getInfo.php?workbook=14_06.xlsx&amp;sheet=U0&amp;row=4212&amp;col=6&amp;number=3.8&amp;sourceID=14","3.8")</f>
        <v>3.8</v>
      </c>
      <c r="G4212" s="4" t="str">
        <f>HYPERLINK("http://141.218.60.56/~jnz1568/getInfo.php?workbook=14_06.xlsx&amp;sheet=U0&amp;row=4212&amp;col=7&amp;number=0.0129&amp;sourceID=14","0.0129")</f>
        <v>0.0129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HYPERLINK("http://141.218.60.56/~jnz1568/getInfo.php?workbook=14_06.xlsx&amp;sheet=U0&amp;row=4213&amp;col=6&amp;number=3.9&amp;sourceID=14","3.9")</f>
        <v>3.9</v>
      </c>
      <c r="G4213" s="4" t="str">
        <f>HYPERLINK("http://141.218.60.56/~jnz1568/getInfo.php?workbook=14_06.xlsx&amp;sheet=U0&amp;row=4213&amp;col=7&amp;number=0.0129&amp;sourceID=14","0.0129")</f>
        <v>0.0129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HYPERLINK("http://141.218.60.56/~jnz1568/getInfo.php?workbook=14_06.xlsx&amp;sheet=U0&amp;row=4214&amp;col=6&amp;number=4&amp;sourceID=14","4")</f>
        <v>4</v>
      </c>
      <c r="G4214" s="4" t="str">
        <f>HYPERLINK("http://141.218.60.56/~jnz1568/getInfo.php?workbook=14_06.xlsx&amp;sheet=U0&amp;row=4214&amp;col=7&amp;number=0.0129&amp;sourceID=14","0.0129")</f>
        <v>0.0129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HYPERLINK("http://141.218.60.56/~jnz1568/getInfo.php?workbook=14_06.xlsx&amp;sheet=U0&amp;row=4215&amp;col=6&amp;number=4.1&amp;sourceID=14","4.1")</f>
        <v>4.1</v>
      </c>
      <c r="G4215" s="4" t="str">
        <f>HYPERLINK("http://141.218.60.56/~jnz1568/getInfo.php?workbook=14_06.xlsx&amp;sheet=U0&amp;row=4215&amp;col=7&amp;number=0.0128&amp;sourceID=14","0.0128")</f>
        <v>0.0128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HYPERLINK("http://141.218.60.56/~jnz1568/getInfo.php?workbook=14_06.xlsx&amp;sheet=U0&amp;row=4216&amp;col=6&amp;number=4.2&amp;sourceID=14","4.2")</f>
        <v>4.2</v>
      </c>
      <c r="G4216" s="4" t="str">
        <f>HYPERLINK("http://141.218.60.56/~jnz1568/getInfo.php?workbook=14_06.xlsx&amp;sheet=U0&amp;row=4216&amp;col=7&amp;number=0.0128&amp;sourceID=14","0.0128")</f>
        <v>0.0128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HYPERLINK("http://141.218.60.56/~jnz1568/getInfo.php?workbook=14_06.xlsx&amp;sheet=U0&amp;row=4217&amp;col=6&amp;number=4.3&amp;sourceID=14","4.3")</f>
        <v>4.3</v>
      </c>
      <c r="G4217" s="4" t="str">
        <f>HYPERLINK("http://141.218.60.56/~jnz1568/getInfo.php?workbook=14_06.xlsx&amp;sheet=U0&amp;row=4217&amp;col=7&amp;number=0.0128&amp;sourceID=14","0.0128")</f>
        <v>0.0128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HYPERLINK("http://141.218.60.56/~jnz1568/getInfo.php?workbook=14_06.xlsx&amp;sheet=U0&amp;row=4218&amp;col=6&amp;number=4.4&amp;sourceID=14","4.4")</f>
        <v>4.4</v>
      </c>
      <c r="G4218" s="4" t="str">
        <f>HYPERLINK("http://141.218.60.56/~jnz1568/getInfo.php?workbook=14_06.xlsx&amp;sheet=U0&amp;row=4218&amp;col=7&amp;number=0.0128&amp;sourceID=14","0.0128")</f>
        <v>0.0128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HYPERLINK("http://141.218.60.56/~jnz1568/getInfo.php?workbook=14_06.xlsx&amp;sheet=U0&amp;row=4219&amp;col=6&amp;number=4.5&amp;sourceID=14","4.5")</f>
        <v>4.5</v>
      </c>
      <c r="G4219" s="4" t="str">
        <f>HYPERLINK("http://141.218.60.56/~jnz1568/getInfo.php?workbook=14_06.xlsx&amp;sheet=U0&amp;row=4219&amp;col=7&amp;number=0.0128&amp;sourceID=14","0.0128")</f>
        <v>0.0128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HYPERLINK("http://141.218.60.56/~jnz1568/getInfo.php?workbook=14_06.xlsx&amp;sheet=U0&amp;row=4220&amp;col=6&amp;number=4.6&amp;sourceID=14","4.6")</f>
        <v>4.6</v>
      </c>
      <c r="G4220" s="4" t="str">
        <f>HYPERLINK("http://141.218.60.56/~jnz1568/getInfo.php?workbook=14_06.xlsx&amp;sheet=U0&amp;row=4220&amp;col=7&amp;number=0.0127&amp;sourceID=14","0.0127")</f>
        <v>0.0127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HYPERLINK("http://141.218.60.56/~jnz1568/getInfo.php?workbook=14_06.xlsx&amp;sheet=U0&amp;row=4221&amp;col=6&amp;number=4.7&amp;sourceID=14","4.7")</f>
        <v>4.7</v>
      </c>
      <c r="G4221" s="4" t="str">
        <f>HYPERLINK("http://141.218.60.56/~jnz1568/getInfo.php?workbook=14_06.xlsx&amp;sheet=U0&amp;row=4221&amp;col=7&amp;number=0.0127&amp;sourceID=14","0.0127")</f>
        <v>0.0127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HYPERLINK("http://141.218.60.56/~jnz1568/getInfo.php?workbook=14_06.xlsx&amp;sheet=U0&amp;row=4222&amp;col=6&amp;number=4.8&amp;sourceID=14","4.8")</f>
        <v>4.8</v>
      </c>
      <c r="G4222" s="4" t="str">
        <f>HYPERLINK("http://141.218.60.56/~jnz1568/getInfo.php?workbook=14_06.xlsx&amp;sheet=U0&amp;row=4222&amp;col=7&amp;number=0.0126&amp;sourceID=14","0.0126")</f>
        <v>0.0126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HYPERLINK("http://141.218.60.56/~jnz1568/getInfo.php?workbook=14_06.xlsx&amp;sheet=U0&amp;row=4223&amp;col=6&amp;number=4.9&amp;sourceID=14","4.9")</f>
        <v>4.9</v>
      </c>
      <c r="G4223" s="4" t="str">
        <f>HYPERLINK("http://141.218.60.56/~jnz1568/getInfo.php?workbook=14_06.xlsx&amp;sheet=U0&amp;row=4223&amp;col=7&amp;number=0.0125&amp;sourceID=14","0.0125")</f>
        <v>0.0125</v>
      </c>
    </row>
    <row r="4224" spans="1:7">
      <c r="A4224" s="3">
        <v>14</v>
      </c>
      <c r="B4224" s="3">
        <v>6</v>
      </c>
      <c r="C4224" s="3">
        <v>5</v>
      </c>
      <c r="D4224" s="3">
        <v>43</v>
      </c>
      <c r="E4224" s="3">
        <v>1</v>
      </c>
      <c r="F4224" s="4" t="str">
        <f>HYPERLINK("http://141.218.60.56/~jnz1568/getInfo.php?workbook=14_06.xlsx&amp;sheet=U0&amp;row=4224&amp;col=6&amp;number=3&amp;sourceID=14","3")</f>
        <v>3</v>
      </c>
      <c r="G4224" s="4" t="str">
        <f>HYPERLINK("http://141.218.60.56/~jnz1568/getInfo.php?workbook=14_06.xlsx&amp;sheet=U0&amp;row=4224&amp;col=7&amp;number=0.00901&amp;sourceID=14","0.00901")</f>
        <v>0.00901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HYPERLINK("http://141.218.60.56/~jnz1568/getInfo.php?workbook=14_06.xlsx&amp;sheet=U0&amp;row=4225&amp;col=6&amp;number=3.1&amp;sourceID=14","3.1")</f>
        <v>3.1</v>
      </c>
      <c r="G4225" s="4" t="str">
        <f>HYPERLINK("http://141.218.60.56/~jnz1568/getInfo.php?workbook=14_06.xlsx&amp;sheet=U0&amp;row=4225&amp;col=7&amp;number=0.00901&amp;sourceID=14","0.00901")</f>
        <v>0.00901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HYPERLINK("http://141.218.60.56/~jnz1568/getInfo.php?workbook=14_06.xlsx&amp;sheet=U0&amp;row=4226&amp;col=6&amp;number=3.2&amp;sourceID=14","3.2")</f>
        <v>3.2</v>
      </c>
      <c r="G4226" s="4" t="str">
        <f>HYPERLINK("http://141.218.60.56/~jnz1568/getInfo.php?workbook=14_06.xlsx&amp;sheet=U0&amp;row=4226&amp;col=7&amp;number=0.00901&amp;sourceID=14","0.00901")</f>
        <v>0.00901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HYPERLINK("http://141.218.60.56/~jnz1568/getInfo.php?workbook=14_06.xlsx&amp;sheet=U0&amp;row=4227&amp;col=6&amp;number=3.3&amp;sourceID=14","3.3")</f>
        <v>3.3</v>
      </c>
      <c r="G4227" s="4" t="str">
        <f>HYPERLINK("http://141.218.60.56/~jnz1568/getInfo.php?workbook=14_06.xlsx&amp;sheet=U0&amp;row=4227&amp;col=7&amp;number=0.00901&amp;sourceID=14","0.00901")</f>
        <v>0.00901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HYPERLINK("http://141.218.60.56/~jnz1568/getInfo.php?workbook=14_06.xlsx&amp;sheet=U0&amp;row=4228&amp;col=6&amp;number=3.4&amp;sourceID=14","3.4")</f>
        <v>3.4</v>
      </c>
      <c r="G4228" s="4" t="str">
        <f>HYPERLINK("http://141.218.60.56/~jnz1568/getInfo.php?workbook=14_06.xlsx&amp;sheet=U0&amp;row=4228&amp;col=7&amp;number=0.00901&amp;sourceID=14","0.00901")</f>
        <v>0.00901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HYPERLINK("http://141.218.60.56/~jnz1568/getInfo.php?workbook=14_06.xlsx&amp;sheet=U0&amp;row=4229&amp;col=6&amp;number=3.5&amp;sourceID=14","3.5")</f>
        <v>3.5</v>
      </c>
      <c r="G4229" s="4" t="str">
        <f>HYPERLINK("http://141.218.60.56/~jnz1568/getInfo.php?workbook=14_06.xlsx&amp;sheet=U0&amp;row=4229&amp;col=7&amp;number=0.009&amp;sourceID=14","0.009")</f>
        <v>0.009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HYPERLINK("http://141.218.60.56/~jnz1568/getInfo.php?workbook=14_06.xlsx&amp;sheet=U0&amp;row=4230&amp;col=6&amp;number=3.6&amp;sourceID=14","3.6")</f>
        <v>3.6</v>
      </c>
      <c r="G4230" s="4" t="str">
        <f>HYPERLINK("http://141.218.60.56/~jnz1568/getInfo.php?workbook=14_06.xlsx&amp;sheet=U0&amp;row=4230&amp;col=7&amp;number=0.009&amp;sourceID=14","0.009")</f>
        <v>0.009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HYPERLINK("http://141.218.60.56/~jnz1568/getInfo.php?workbook=14_06.xlsx&amp;sheet=U0&amp;row=4231&amp;col=6&amp;number=3.7&amp;sourceID=14","3.7")</f>
        <v>3.7</v>
      </c>
      <c r="G4231" s="4" t="str">
        <f>HYPERLINK("http://141.218.60.56/~jnz1568/getInfo.php?workbook=14_06.xlsx&amp;sheet=U0&amp;row=4231&amp;col=7&amp;number=0.009&amp;sourceID=14","0.009")</f>
        <v>0.009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HYPERLINK("http://141.218.60.56/~jnz1568/getInfo.php?workbook=14_06.xlsx&amp;sheet=U0&amp;row=4232&amp;col=6&amp;number=3.8&amp;sourceID=14","3.8")</f>
        <v>3.8</v>
      </c>
      <c r="G4232" s="4" t="str">
        <f>HYPERLINK("http://141.218.60.56/~jnz1568/getInfo.php?workbook=14_06.xlsx&amp;sheet=U0&amp;row=4232&amp;col=7&amp;number=0.00899&amp;sourceID=14","0.00899")</f>
        <v>0.00899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HYPERLINK("http://141.218.60.56/~jnz1568/getInfo.php?workbook=14_06.xlsx&amp;sheet=U0&amp;row=4233&amp;col=6&amp;number=3.9&amp;sourceID=14","3.9")</f>
        <v>3.9</v>
      </c>
      <c r="G4233" s="4" t="str">
        <f>HYPERLINK("http://141.218.60.56/~jnz1568/getInfo.php?workbook=14_06.xlsx&amp;sheet=U0&amp;row=4233&amp;col=7&amp;number=0.00899&amp;sourceID=14","0.00899")</f>
        <v>0.00899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HYPERLINK("http://141.218.60.56/~jnz1568/getInfo.php?workbook=14_06.xlsx&amp;sheet=U0&amp;row=4234&amp;col=6&amp;number=4&amp;sourceID=14","4")</f>
        <v>4</v>
      </c>
      <c r="G4234" s="4" t="str">
        <f>HYPERLINK("http://141.218.60.56/~jnz1568/getInfo.php?workbook=14_06.xlsx&amp;sheet=U0&amp;row=4234&amp;col=7&amp;number=0.00898&amp;sourceID=14","0.00898")</f>
        <v>0.00898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HYPERLINK("http://141.218.60.56/~jnz1568/getInfo.php?workbook=14_06.xlsx&amp;sheet=U0&amp;row=4235&amp;col=6&amp;number=4.1&amp;sourceID=14","4.1")</f>
        <v>4.1</v>
      </c>
      <c r="G4235" s="4" t="str">
        <f>HYPERLINK("http://141.218.60.56/~jnz1568/getInfo.php?workbook=14_06.xlsx&amp;sheet=U0&amp;row=4235&amp;col=7&amp;number=0.00897&amp;sourceID=14","0.00897")</f>
        <v>0.00897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HYPERLINK("http://141.218.60.56/~jnz1568/getInfo.php?workbook=14_06.xlsx&amp;sheet=U0&amp;row=4236&amp;col=6&amp;number=4.2&amp;sourceID=14","4.2")</f>
        <v>4.2</v>
      </c>
      <c r="G4236" s="4" t="str">
        <f>HYPERLINK("http://141.218.60.56/~jnz1568/getInfo.php?workbook=14_06.xlsx&amp;sheet=U0&amp;row=4236&amp;col=7&amp;number=0.00896&amp;sourceID=14","0.00896")</f>
        <v>0.00896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HYPERLINK("http://141.218.60.56/~jnz1568/getInfo.php?workbook=14_06.xlsx&amp;sheet=U0&amp;row=4237&amp;col=6&amp;number=4.3&amp;sourceID=14","4.3")</f>
        <v>4.3</v>
      </c>
      <c r="G4237" s="4" t="str">
        <f>HYPERLINK("http://141.218.60.56/~jnz1568/getInfo.php?workbook=14_06.xlsx&amp;sheet=U0&amp;row=4237&amp;col=7&amp;number=0.00895&amp;sourceID=14","0.00895")</f>
        <v>0.00895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HYPERLINK("http://141.218.60.56/~jnz1568/getInfo.php?workbook=14_06.xlsx&amp;sheet=U0&amp;row=4238&amp;col=6&amp;number=4.4&amp;sourceID=14","4.4")</f>
        <v>4.4</v>
      </c>
      <c r="G4238" s="4" t="str">
        <f>HYPERLINK("http://141.218.60.56/~jnz1568/getInfo.php?workbook=14_06.xlsx&amp;sheet=U0&amp;row=4238&amp;col=7&amp;number=0.00893&amp;sourceID=14","0.00893")</f>
        <v>0.00893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HYPERLINK("http://141.218.60.56/~jnz1568/getInfo.php?workbook=14_06.xlsx&amp;sheet=U0&amp;row=4239&amp;col=6&amp;number=4.5&amp;sourceID=14","4.5")</f>
        <v>4.5</v>
      </c>
      <c r="G4239" s="4" t="str">
        <f>HYPERLINK("http://141.218.60.56/~jnz1568/getInfo.php?workbook=14_06.xlsx&amp;sheet=U0&amp;row=4239&amp;col=7&amp;number=0.00891&amp;sourceID=14","0.00891")</f>
        <v>0.00891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HYPERLINK("http://141.218.60.56/~jnz1568/getInfo.php?workbook=14_06.xlsx&amp;sheet=U0&amp;row=4240&amp;col=6&amp;number=4.6&amp;sourceID=14","4.6")</f>
        <v>4.6</v>
      </c>
      <c r="G4240" s="4" t="str">
        <f>HYPERLINK("http://141.218.60.56/~jnz1568/getInfo.php?workbook=14_06.xlsx&amp;sheet=U0&amp;row=4240&amp;col=7&amp;number=0.00888&amp;sourceID=14","0.00888")</f>
        <v>0.00888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HYPERLINK("http://141.218.60.56/~jnz1568/getInfo.php?workbook=14_06.xlsx&amp;sheet=U0&amp;row=4241&amp;col=6&amp;number=4.7&amp;sourceID=14","4.7")</f>
        <v>4.7</v>
      </c>
      <c r="G4241" s="4" t="str">
        <f>HYPERLINK("http://141.218.60.56/~jnz1568/getInfo.php?workbook=14_06.xlsx&amp;sheet=U0&amp;row=4241&amp;col=7&amp;number=0.00885&amp;sourceID=14","0.00885")</f>
        <v>0.00885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HYPERLINK("http://141.218.60.56/~jnz1568/getInfo.php?workbook=14_06.xlsx&amp;sheet=U0&amp;row=4242&amp;col=6&amp;number=4.8&amp;sourceID=14","4.8")</f>
        <v>4.8</v>
      </c>
      <c r="G4242" s="4" t="str">
        <f>HYPERLINK("http://141.218.60.56/~jnz1568/getInfo.php?workbook=14_06.xlsx&amp;sheet=U0&amp;row=4242&amp;col=7&amp;number=0.00881&amp;sourceID=14","0.00881")</f>
        <v>0.00881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HYPERLINK("http://141.218.60.56/~jnz1568/getInfo.php?workbook=14_06.xlsx&amp;sheet=U0&amp;row=4243&amp;col=6&amp;number=4.9&amp;sourceID=14","4.9")</f>
        <v>4.9</v>
      </c>
      <c r="G4243" s="4" t="str">
        <f>HYPERLINK("http://141.218.60.56/~jnz1568/getInfo.php?workbook=14_06.xlsx&amp;sheet=U0&amp;row=4243&amp;col=7&amp;number=0.00876&amp;sourceID=14","0.00876")</f>
        <v>0.00876</v>
      </c>
    </row>
    <row r="4244" spans="1:7">
      <c r="A4244" s="3">
        <v>14</v>
      </c>
      <c r="B4244" s="3">
        <v>6</v>
      </c>
      <c r="C4244" s="3">
        <v>5</v>
      </c>
      <c r="D4244" s="3">
        <v>44</v>
      </c>
      <c r="E4244" s="3">
        <v>1</v>
      </c>
      <c r="F4244" s="4" t="str">
        <f>HYPERLINK("http://141.218.60.56/~jnz1568/getInfo.php?workbook=14_06.xlsx&amp;sheet=U0&amp;row=4244&amp;col=6&amp;number=3&amp;sourceID=14","3")</f>
        <v>3</v>
      </c>
      <c r="G4244" s="4" t="str">
        <f>HYPERLINK("http://141.218.60.56/~jnz1568/getInfo.php?workbook=14_06.xlsx&amp;sheet=U0&amp;row=4244&amp;col=7&amp;number=0.00323&amp;sourceID=14","0.00323")</f>
        <v>0.00323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HYPERLINK("http://141.218.60.56/~jnz1568/getInfo.php?workbook=14_06.xlsx&amp;sheet=U0&amp;row=4245&amp;col=6&amp;number=3.1&amp;sourceID=14","3.1")</f>
        <v>3.1</v>
      </c>
      <c r="G4245" s="4" t="str">
        <f>HYPERLINK("http://141.218.60.56/~jnz1568/getInfo.php?workbook=14_06.xlsx&amp;sheet=U0&amp;row=4245&amp;col=7&amp;number=0.00323&amp;sourceID=14","0.00323")</f>
        <v>0.00323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HYPERLINK("http://141.218.60.56/~jnz1568/getInfo.php?workbook=14_06.xlsx&amp;sheet=U0&amp;row=4246&amp;col=6&amp;number=3.2&amp;sourceID=14","3.2")</f>
        <v>3.2</v>
      </c>
      <c r="G4246" s="4" t="str">
        <f>HYPERLINK("http://141.218.60.56/~jnz1568/getInfo.php?workbook=14_06.xlsx&amp;sheet=U0&amp;row=4246&amp;col=7&amp;number=0.00323&amp;sourceID=14","0.00323")</f>
        <v>0.00323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HYPERLINK("http://141.218.60.56/~jnz1568/getInfo.php?workbook=14_06.xlsx&amp;sheet=U0&amp;row=4247&amp;col=6&amp;number=3.3&amp;sourceID=14","3.3")</f>
        <v>3.3</v>
      </c>
      <c r="G4247" s="4" t="str">
        <f>HYPERLINK("http://141.218.60.56/~jnz1568/getInfo.php?workbook=14_06.xlsx&amp;sheet=U0&amp;row=4247&amp;col=7&amp;number=0.00323&amp;sourceID=14","0.00323")</f>
        <v>0.00323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HYPERLINK("http://141.218.60.56/~jnz1568/getInfo.php?workbook=14_06.xlsx&amp;sheet=U0&amp;row=4248&amp;col=6&amp;number=3.4&amp;sourceID=14","3.4")</f>
        <v>3.4</v>
      </c>
      <c r="G4248" s="4" t="str">
        <f>HYPERLINK("http://141.218.60.56/~jnz1568/getInfo.php?workbook=14_06.xlsx&amp;sheet=U0&amp;row=4248&amp;col=7&amp;number=0.00323&amp;sourceID=14","0.00323")</f>
        <v>0.00323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HYPERLINK("http://141.218.60.56/~jnz1568/getInfo.php?workbook=14_06.xlsx&amp;sheet=U0&amp;row=4249&amp;col=6&amp;number=3.5&amp;sourceID=14","3.5")</f>
        <v>3.5</v>
      </c>
      <c r="G4249" s="4" t="str">
        <f>HYPERLINK("http://141.218.60.56/~jnz1568/getInfo.php?workbook=14_06.xlsx&amp;sheet=U0&amp;row=4249&amp;col=7&amp;number=0.00323&amp;sourceID=14","0.00323")</f>
        <v>0.00323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HYPERLINK("http://141.218.60.56/~jnz1568/getInfo.php?workbook=14_06.xlsx&amp;sheet=U0&amp;row=4250&amp;col=6&amp;number=3.6&amp;sourceID=14","3.6")</f>
        <v>3.6</v>
      </c>
      <c r="G4250" s="4" t="str">
        <f>HYPERLINK("http://141.218.60.56/~jnz1568/getInfo.php?workbook=14_06.xlsx&amp;sheet=U0&amp;row=4250&amp;col=7&amp;number=0.00323&amp;sourceID=14","0.00323")</f>
        <v>0.00323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HYPERLINK("http://141.218.60.56/~jnz1568/getInfo.php?workbook=14_06.xlsx&amp;sheet=U0&amp;row=4251&amp;col=6&amp;number=3.7&amp;sourceID=14","3.7")</f>
        <v>3.7</v>
      </c>
      <c r="G4251" s="4" t="str">
        <f>HYPERLINK("http://141.218.60.56/~jnz1568/getInfo.php?workbook=14_06.xlsx&amp;sheet=U0&amp;row=4251&amp;col=7&amp;number=0.00323&amp;sourceID=14","0.00323")</f>
        <v>0.00323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HYPERLINK("http://141.218.60.56/~jnz1568/getInfo.php?workbook=14_06.xlsx&amp;sheet=U0&amp;row=4252&amp;col=6&amp;number=3.8&amp;sourceID=14","3.8")</f>
        <v>3.8</v>
      </c>
      <c r="G4252" s="4" t="str">
        <f>HYPERLINK("http://141.218.60.56/~jnz1568/getInfo.php?workbook=14_06.xlsx&amp;sheet=U0&amp;row=4252&amp;col=7&amp;number=0.00322&amp;sourceID=14","0.00322")</f>
        <v>0.00322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HYPERLINK("http://141.218.60.56/~jnz1568/getInfo.php?workbook=14_06.xlsx&amp;sheet=U0&amp;row=4253&amp;col=6&amp;number=3.9&amp;sourceID=14","3.9")</f>
        <v>3.9</v>
      </c>
      <c r="G4253" s="4" t="str">
        <f>HYPERLINK("http://141.218.60.56/~jnz1568/getInfo.php?workbook=14_06.xlsx&amp;sheet=U0&amp;row=4253&amp;col=7&amp;number=0.00322&amp;sourceID=14","0.00322")</f>
        <v>0.00322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HYPERLINK("http://141.218.60.56/~jnz1568/getInfo.php?workbook=14_06.xlsx&amp;sheet=U0&amp;row=4254&amp;col=6&amp;number=4&amp;sourceID=14","4")</f>
        <v>4</v>
      </c>
      <c r="G4254" s="4" t="str">
        <f>HYPERLINK("http://141.218.60.56/~jnz1568/getInfo.php?workbook=14_06.xlsx&amp;sheet=U0&amp;row=4254&amp;col=7&amp;number=0.00322&amp;sourceID=14","0.00322")</f>
        <v>0.00322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HYPERLINK("http://141.218.60.56/~jnz1568/getInfo.php?workbook=14_06.xlsx&amp;sheet=U0&amp;row=4255&amp;col=6&amp;number=4.1&amp;sourceID=14","4.1")</f>
        <v>4.1</v>
      </c>
      <c r="G4255" s="4" t="str">
        <f>HYPERLINK("http://141.218.60.56/~jnz1568/getInfo.php?workbook=14_06.xlsx&amp;sheet=U0&amp;row=4255&amp;col=7&amp;number=0.00322&amp;sourceID=14","0.00322")</f>
        <v>0.00322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HYPERLINK("http://141.218.60.56/~jnz1568/getInfo.php?workbook=14_06.xlsx&amp;sheet=U0&amp;row=4256&amp;col=6&amp;number=4.2&amp;sourceID=14","4.2")</f>
        <v>4.2</v>
      </c>
      <c r="G4256" s="4" t="str">
        <f>HYPERLINK("http://141.218.60.56/~jnz1568/getInfo.php?workbook=14_06.xlsx&amp;sheet=U0&amp;row=4256&amp;col=7&amp;number=0.00321&amp;sourceID=14","0.00321")</f>
        <v>0.00321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HYPERLINK("http://141.218.60.56/~jnz1568/getInfo.php?workbook=14_06.xlsx&amp;sheet=U0&amp;row=4257&amp;col=6&amp;number=4.3&amp;sourceID=14","4.3")</f>
        <v>4.3</v>
      </c>
      <c r="G4257" s="4" t="str">
        <f>HYPERLINK("http://141.218.60.56/~jnz1568/getInfo.php?workbook=14_06.xlsx&amp;sheet=U0&amp;row=4257&amp;col=7&amp;number=0.00321&amp;sourceID=14","0.00321")</f>
        <v>0.00321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HYPERLINK("http://141.218.60.56/~jnz1568/getInfo.php?workbook=14_06.xlsx&amp;sheet=U0&amp;row=4258&amp;col=6&amp;number=4.4&amp;sourceID=14","4.4")</f>
        <v>4.4</v>
      </c>
      <c r="G4258" s="4" t="str">
        <f>HYPERLINK("http://141.218.60.56/~jnz1568/getInfo.php?workbook=14_06.xlsx&amp;sheet=U0&amp;row=4258&amp;col=7&amp;number=0.0032&amp;sourceID=14","0.0032")</f>
        <v>0.0032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HYPERLINK("http://141.218.60.56/~jnz1568/getInfo.php?workbook=14_06.xlsx&amp;sheet=U0&amp;row=4259&amp;col=6&amp;number=4.5&amp;sourceID=14","4.5")</f>
        <v>4.5</v>
      </c>
      <c r="G4259" s="4" t="str">
        <f>HYPERLINK("http://141.218.60.56/~jnz1568/getInfo.php?workbook=14_06.xlsx&amp;sheet=U0&amp;row=4259&amp;col=7&amp;number=0.00319&amp;sourceID=14","0.00319")</f>
        <v>0.00319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HYPERLINK("http://141.218.60.56/~jnz1568/getInfo.php?workbook=14_06.xlsx&amp;sheet=U0&amp;row=4260&amp;col=6&amp;number=4.6&amp;sourceID=14","4.6")</f>
        <v>4.6</v>
      </c>
      <c r="G4260" s="4" t="str">
        <f>HYPERLINK("http://141.218.60.56/~jnz1568/getInfo.php?workbook=14_06.xlsx&amp;sheet=U0&amp;row=4260&amp;col=7&amp;number=0.00318&amp;sourceID=14","0.00318")</f>
        <v>0.00318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HYPERLINK("http://141.218.60.56/~jnz1568/getInfo.php?workbook=14_06.xlsx&amp;sheet=U0&amp;row=4261&amp;col=6&amp;number=4.7&amp;sourceID=14","4.7")</f>
        <v>4.7</v>
      </c>
      <c r="G4261" s="4" t="str">
        <f>HYPERLINK("http://141.218.60.56/~jnz1568/getInfo.php?workbook=14_06.xlsx&amp;sheet=U0&amp;row=4261&amp;col=7&amp;number=0.00317&amp;sourceID=14","0.00317")</f>
        <v>0.00317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HYPERLINK("http://141.218.60.56/~jnz1568/getInfo.php?workbook=14_06.xlsx&amp;sheet=U0&amp;row=4262&amp;col=6&amp;number=4.8&amp;sourceID=14","4.8")</f>
        <v>4.8</v>
      </c>
      <c r="G4262" s="4" t="str">
        <f>HYPERLINK("http://141.218.60.56/~jnz1568/getInfo.php?workbook=14_06.xlsx&amp;sheet=U0&amp;row=4262&amp;col=7&amp;number=0.00316&amp;sourceID=14","0.00316")</f>
        <v>0.00316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HYPERLINK("http://141.218.60.56/~jnz1568/getInfo.php?workbook=14_06.xlsx&amp;sheet=U0&amp;row=4263&amp;col=6&amp;number=4.9&amp;sourceID=14","4.9")</f>
        <v>4.9</v>
      </c>
      <c r="G4263" s="4" t="str">
        <f>HYPERLINK("http://141.218.60.56/~jnz1568/getInfo.php?workbook=14_06.xlsx&amp;sheet=U0&amp;row=4263&amp;col=7&amp;number=0.00314&amp;sourceID=14","0.00314")</f>
        <v>0.00314</v>
      </c>
    </row>
    <row r="4264" spans="1:7">
      <c r="A4264" s="3">
        <v>14</v>
      </c>
      <c r="B4264" s="3">
        <v>6</v>
      </c>
      <c r="C4264" s="3">
        <v>5</v>
      </c>
      <c r="D4264" s="3">
        <v>45</v>
      </c>
      <c r="E4264" s="3">
        <v>1</v>
      </c>
      <c r="F4264" s="4" t="str">
        <f>HYPERLINK("http://141.218.60.56/~jnz1568/getInfo.php?workbook=14_06.xlsx&amp;sheet=U0&amp;row=4264&amp;col=6&amp;number=3&amp;sourceID=14","3")</f>
        <v>3</v>
      </c>
      <c r="G4264" s="4" t="str">
        <f>HYPERLINK("http://141.218.60.56/~jnz1568/getInfo.php?workbook=14_06.xlsx&amp;sheet=U0&amp;row=4264&amp;col=7&amp;number=0.111&amp;sourceID=14","0.111")</f>
        <v>0.111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HYPERLINK("http://141.218.60.56/~jnz1568/getInfo.php?workbook=14_06.xlsx&amp;sheet=U0&amp;row=4265&amp;col=6&amp;number=3.1&amp;sourceID=14","3.1")</f>
        <v>3.1</v>
      </c>
      <c r="G4265" s="4" t="str">
        <f>HYPERLINK("http://141.218.60.56/~jnz1568/getInfo.php?workbook=14_06.xlsx&amp;sheet=U0&amp;row=4265&amp;col=7&amp;number=0.111&amp;sourceID=14","0.111")</f>
        <v>0.111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HYPERLINK("http://141.218.60.56/~jnz1568/getInfo.php?workbook=14_06.xlsx&amp;sheet=U0&amp;row=4266&amp;col=6&amp;number=3.2&amp;sourceID=14","3.2")</f>
        <v>3.2</v>
      </c>
      <c r="G4266" s="4" t="str">
        <f>HYPERLINK("http://141.218.60.56/~jnz1568/getInfo.php?workbook=14_06.xlsx&amp;sheet=U0&amp;row=4266&amp;col=7&amp;number=0.111&amp;sourceID=14","0.111")</f>
        <v>0.111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HYPERLINK("http://141.218.60.56/~jnz1568/getInfo.php?workbook=14_06.xlsx&amp;sheet=U0&amp;row=4267&amp;col=6&amp;number=3.3&amp;sourceID=14","3.3")</f>
        <v>3.3</v>
      </c>
      <c r="G4267" s="4" t="str">
        <f>HYPERLINK("http://141.218.60.56/~jnz1568/getInfo.php?workbook=14_06.xlsx&amp;sheet=U0&amp;row=4267&amp;col=7&amp;number=0.111&amp;sourceID=14","0.111")</f>
        <v>0.111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HYPERLINK("http://141.218.60.56/~jnz1568/getInfo.php?workbook=14_06.xlsx&amp;sheet=U0&amp;row=4268&amp;col=6&amp;number=3.4&amp;sourceID=14","3.4")</f>
        <v>3.4</v>
      </c>
      <c r="G4268" s="4" t="str">
        <f>HYPERLINK("http://141.218.60.56/~jnz1568/getInfo.php?workbook=14_06.xlsx&amp;sheet=U0&amp;row=4268&amp;col=7&amp;number=0.111&amp;sourceID=14","0.111")</f>
        <v>0.111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HYPERLINK("http://141.218.60.56/~jnz1568/getInfo.php?workbook=14_06.xlsx&amp;sheet=U0&amp;row=4269&amp;col=6&amp;number=3.5&amp;sourceID=14","3.5")</f>
        <v>3.5</v>
      </c>
      <c r="G4269" s="4" t="str">
        <f>HYPERLINK("http://141.218.60.56/~jnz1568/getInfo.php?workbook=14_06.xlsx&amp;sheet=U0&amp;row=4269&amp;col=7&amp;number=0.111&amp;sourceID=14","0.111")</f>
        <v>0.111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HYPERLINK("http://141.218.60.56/~jnz1568/getInfo.php?workbook=14_06.xlsx&amp;sheet=U0&amp;row=4270&amp;col=6&amp;number=3.6&amp;sourceID=14","3.6")</f>
        <v>3.6</v>
      </c>
      <c r="G4270" s="4" t="str">
        <f>HYPERLINK("http://141.218.60.56/~jnz1568/getInfo.php?workbook=14_06.xlsx&amp;sheet=U0&amp;row=4270&amp;col=7&amp;number=0.111&amp;sourceID=14","0.111")</f>
        <v>0.111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HYPERLINK("http://141.218.60.56/~jnz1568/getInfo.php?workbook=14_06.xlsx&amp;sheet=U0&amp;row=4271&amp;col=6&amp;number=3.7&amp;sourceID=14","3.7")</f>
        <v>3.7</v>
      </c>
      <c r="G4271" s="4" t="str">
        <f>HYPERLINK("http://141.218.60.56/~jnz1568/getInfo.php?workbook=14_06.xlsx&amp;sheet=U0&amp;row=4271&amp;col=7&amp;number=0.111&amp;sourceID=14","0.111")</f>
        <v>0.111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HYPERLINK("http://141.218.60.56/~jnz1568/getInfo.php?workbook=14_06.xlsx&amp;sheet=U0&amp;row=4272&amp;col=6&amp;number=3.8&amp;sourceID=14","3.8")</f>
        <v>3.8</v>
      </c>
      <c r="G4272" s="4" t="str">
        <f>HYPERLINK("http://141.218.60.56/~jnz1568/getInfo.php?workbook=14_06.xlsx&amp;sheet=U0&amp;row=4272&amp;col=7&amp;number=0.111&amp;sourceID=14","0.111")</f>
        <v>0.111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HYPERLINK("http://141.218.60.56/~jnz1568/getInfo.php?workbook=14_06.xlsx&amp;sheet=U0&amp;row=4273&amp;col=6&amp;number=3.9&amp;sourceID=14","3.9")</f>
        <v>3.9</v>
      </c>
      <c r="G4273" s="4" t="str">
        <f>HYPERLINK("http://141.218.60.56/~jnz1568/getInfo.php?workbook=14_06.xlsx&amp;sheet=U0&amp;row=4273&amp;col=7&amp;number=0.111&amp;sourceID=14","0.111")</f>
        <v>0.111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HYPERLINK("http://141.218.60.56/~jnz1568/getInfo.php?workbook=14_06.xlsx&amp;sheet=U0&amp;row=4274&amp;col=6&amp;number=4&amp;sourceID=14","4")</f>
        <v>4</v>
      </c>
      <c r="G4274" s="4" t="str">
        <f>HYPERLINK("http://141.218.60.56/~jnz1568/getInfo.php?workbook=14_06.xlsx&amp;sheet=U0&amp;row=4274&amp;col=7&amp;number=0.111&amp;sourceID=14","0.111")</f>
        <v>0.111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HYPERLINK("http://141.218.60.56/~jnz1568/getInfo.php?workbook=14_06.xlsx&amp;sheet=U0&amp;row=4275&amp;col=6&amp;number=4.1&amp;sourceID=14","4.1")</f>
        <v>4.1</v>
      </c>
      <c r="G4275" s="4" t="str">
        <f>HYPERLINK("http://141.218.60.56/~jnz1568/getInfo.php?workbook=14_06.xlsx&amp;sheet=U0&amp;row=4275&amp;col=7&amp;number=0.111&amp;sourceID=14","0.111")</f>
        <v>0.111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HYPERLINK("http://141.218.60.56/~jnz1568/getInfo.php?workbook=14_06.xlsx&amp;sheet=U0&amp;row=4276&amp;col=6&amp;number=4.2&amp;sourceID=14","4.2")</f>
        <v>4.2</v>
      </c>
      <c r="G4276" s="4" t="str">
        <f>HYPERLINK("http://141.218.60.56/~jnz1568/getInfo.php?workbook=14_06.xlsx&amp;sheet=U0&amp;row=4276&amp;col=7&amp;number=0.112&amp;sourceID=14","0.112")</f>
        <v>0.112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HYPERLINK("http://141.218.60.56/~jnz1568/getInfo.php?workbook=14_06.xlsx&amp;sheet=U0&amp;row=4277&amp;col=6&amp;number=4.3&amp;sourceID=14","4.3")</f>
        <v>4.3</v>
      </c>
      <c r="G4277" s="4" t="str">
        <f>HYPERLINK("http://141.218.60.56/~jnz1568/getInfo.php?workbook=14_06.xlsx&amp;sheet=U0&amp;row=4277&amp;col=7&amp;number=0.112&amp;sourceID=14","0.112")</f>
        <v>0.112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HYPERLINK("http://141.218.60.56/~jnz1568/getInfo.php?workbook=14_06.xlsx&amp;sheet=U0&amp;row=4278&amp;col=6&amp;number=4.4&amp;sourceID=14","4.4")</f>
        <v>4.4</v>
      </c>
      <c r="G4278" s="4" t="str">
        <f>HYPERLINK("http://141.218.60.56/~jnz1568/getInfo.php?workbook=14_06.xlsx&amp;sheet=U0&amp;row=4278&amp;col=7&amp;number=0.112&amp;sourceID=14","0.112")</f>
        <v>0.112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HYPERLINK("http://141.218.60.56/~jnz1568/getInfo.php?workbook=14_06.xlsx&amp;sheet=U0&amp;row=4279&amp;col=6&amp;number=4.5&amp;sourceID=14","4.5")</f>
        <v>4.5</v>
      </c>
      <c r="G4279" s="4" t="str">
        <f>HYPERLINK("http://141.218.60.56/~jnz1568/getInfo.php?workbook=14_06.xlsx&amp;sheet=U0&amp;row=4279&amp;col=7&amp;number=0.113&amp;sourceID=14","0.113")</f>
        <v>0.113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HYPERLINK("http://141.218.60.56/~jnz1568/getInfo.php?workbook=14_06.xlsx&amp;sheet=U0&amp;row=4280&amp;col=6&amp;number=4.6&amp;sourceID=14","4.6")</f>
        <v>4.6</v>
      </c>
      <c r="G4280" s="4" t="str">
        <f>HYPERLINK("http://141.218.60.56/~jnz1568/getInfo.php?workbook=14_06.xlsx&amp;sheet=U0&amp;row=4280&amp;col=7&amp;number=0.113&amp;sourceID=14","0.113")</f>
        <v>0.113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HYPERLINK("http://141.218.60.56/~jnz1568/getInfo.php?workbook=14_06.xlsx&amp;sheet=U0&amp;row=4281&amp;col=6&amp;number=4.7&amp;sourceID=14","4.7")</f>
        <v>4.7</v>
      </c>
      <c r="G4281" s="4" t="str">
        <f>HYPERLINK("http://141.218.60.56/~jnz1568/getInfo.php?workbook=14_06.xlsx&amp;sheet=U0&amp;row=4281&amp;col=7&amp;number=0.114&amp;sourceID=14","0.114")</f>
        <v>0.114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HYPERLINK("http://141.218.60.56/~jnz1568/getInfo.php?workbook=14_06.xlsx&amp;sheet=U0&amp;row=4282&amp;col=6&amp;number=4.8&amp;sourceID=14","4.8")</f>
        <v>4.8</v>
      </c>
      <c r="G4282" s="4" t="str">
        <f>HYPERLINK("http://141.218.60.56/~jnz1568/getInfo.php?workbook=14_06.xlsx&amp;sheet=U0&amp;row=4282&amp;col=7&amp;number=0.115&amp;sourceID=14","0.115")</f>
        <v>0.115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HYPERLINK("http://141.218.60.56/~jnz1568/getInfo.php?workbook=14_06.xlsx&amp;sheet=U0&amp;row=4283&amp;col=6&amp;number=4.9&amp;sourceID=14","4.9")</f>
        <v>4.9</v>
      </c>
      <c r="G4283" s="4" t="str">
        <f>HYPERLINK("http://141.218.60.56/~jnz1568/getInfo.php?workbook=14_06.xlsx&amp;sheet=U0&amp;row=4283&amp;col=7&amp;number=0.116&amp;sourceID=14","0.116")</f>
        <v>0.116</v>
      </c>
    </row>
    <row r="4284" spans="1:7">
      <c r="A4284" s="3">
        <v>14</v>
      </c>
      <c r="B4284" s="3">
        <v>6</v>
      </c>
      <c r="C4284" s="3">
        <v>5</v>
      </c>
      <c r="D4284" s="3">
        <v>46</v>
      </c>
      <c r="E4284" s="3">
        <v>1</v>
      </c>
      <c r="F4284" s="4" t="str">
        <f>HYPERLINK("http://141.218.60.56/~jnz1568/getInfo.php?workbook=14_06.xlsx&amp;sheet=U0&amp;row=4284&amp;col=6&amp;number=3&amp;sourceID=14","3")</f>
        <v>3</v>
      </c>
      <c r="G4284" s="4" t="str">
        <f>HYPERLINK("http://141.218.60.56/~jnz1568/getInfo.php?workbook=14_06.xlsx&amp;sheet=U0&amp;row=4284&amp;col=7&amp;number=0.0042&amp;sourceID=14","0.0042")</f>
        <v>0.0042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HYPERLINK("http://141.218.60.56/~jnz1568/getInfo.php?workbook=14_06.xlsx&amp;sheet=U0&amp;row=4285&amp;col=6&amp;number=3.1&amp;sourceID=14","3.1")</f>
        <v>3.1</v>
      </c>
      <c r="G4285" s="4" t="str">
        <f>HYPERLINK("http://141.218.60.56/~jnz1568/getInfo.php?workbook=14_06.xlsx&amp;sheet=U0&amp;row=4285&amp;col=7&amp;number=0.0042&amp;sourceID=14","0.0042")</f>
        <v>0.0042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HYPERLINK("http://141.218.60.56/~jnz1568/getInfo.php?workbook=14_06.xlsx&amp;sheet=U0&amp;row=4286&amp;col=6&amp;number=3.2&amp;sourceID=14","3.2")</f>
        <v>3.2</v>
      </c>
      <c r="G4286" s="4" t="str">
        <f>HYPERLINK("http://141.218.60.56/~jnz1568/getInfo.php?workbook=14_06.xlsx&amp;sheet=U0&amp;row=4286&amp;col=7&amp;number=0.0042&amp;sourceID=14","0.0042")</f>
        <v>0.0042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HYPERLINK("http://141.218.60.56/~jnz1568/getInfo.php?workbook=14_06.xlsx&amp;sheet=U0&amp;row=4287&amp;col=6&amp;number=3.3&amp;sourceID=14","3.3")</f>
        <v>3.3</v>
      </c>
      <c r="G4287" s="4" t="str">
        <f>HYPERLINK("http://141.218.60.56/~jnz1568/getInfo.php?workbook=14_06.xlsx&amp;sheet=U0&amp;row=4287&amp;col=7&amp;number=0.0042&amp;sourceID=14","0.0042")</f>
        <v>0.0042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HYPERLINK("http://141.218.60.56/~jnz1568/getInfo.php?workbook=14_06.xlsx&amp;sheet=U0&amp;row=4288&amp;col=6&amp;number=3.4&amp;sourceID=14","3.4")</f>
        <v>3.4</v>
      </c>
      <c r="G4288" s="4" t="str">
        <f>HYPERLINK("http://141.218.60.56/~jnz1568/getInfo.php?workbook=14_06.xlsx&amp;sheet=U0&amp;row=4288&amp;col=7&amp;number=0.0042&amp;sourceID=14","0.0042")</f>
        <v>0.0042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HYPERLINK("http://141.218.60.56/~jnz1568/getInfo.php?workbook=14_06.xlsx&amp;sheet=U0&amp;row=4289&amp;col=6&amp;number=3.5&amp;sourceID=14","3.5")</f>
        <v>3.5</v>
      </c>
      <c r="G4289" s="4" t="str">
        <f>HYPERLINK("http://141.218.60.56/~jnz1568/getInfo.php?workbook=14_06.xlsx&amp;sheet=U0&amp;row=4289&amp;col=7&amp;number=0.0042&amp;sourceID=14","0.0042")</f>
        <v>0.0042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HYPERLINK("http://141.218.60.56/~jnz1568/getInfo.php?workbook=14_06.xlsx&amp;sheet=U0&amp;row=4290&amp;col=6&amp;number=3.6&amp;sourceID=14","3.6")</f>
        <v>3.6</v>
      </c>
      <c r="G4290" s="4" t="str">
        <f>HYPERLINK("http://141.218.60.56/~jnz1568/getInfo.php?workbook=14_06.xlsx&amp;sheet=U0&amp;row=4290&amp;col=7&amp;number=0.0042&amp;sourceID=14","0.0042")</f>
        <v>0.0042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HYPERLINK("http://141.218.60.56/~jnz1568/getInfo.php?workbook=14_06.xlsx&amp;sheet=U0&amp;row=4291&amp;col=6&amp;number=3.7&amp;sourceID=14","3.7")</f>
        <v>3.7</v>
      </c>
      <c r="G4291" s="4" t="str">
        <f>HYPERLINK("http://141.218.60.56/~jnz1568/getInfo.php?workbook=14_06.xlsx&amp;sheet=U0&amp;row=4291&amp;col=7&amp;number=0.0042&amp;sourceID=14","0.0042")</f>
        <v>0.0042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HYPERLINK("http://141.218.60.56/~jnz1568/getInfo.php?workbook=14_06.xlsx&amp;sheet=U0&amp;row=4292&amp;col=6&amp;number=3.8&amp;sourceID=14","3.8")</f>
        <v>3.8</v>
      </c>
      <c r="G4292" s="4" t="str">
        <f>HYPERLINK("http://141.218.60.56/~jnz1568/getInfo.php?workbook=14_06.xlsx&amp;sheet=U0&amp;row=4292&amp;col=7&amp;number=0.00421&amp;sourceID=14","0.00421")</f>
        <v>0.00421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HYPERLINK("http://141.218.60.56/~jnz1568/getInfo.php?workbook=14_06.xlsx&amp;sheet=U0&amp;row=4293&amp;col=6&amp;number=3.9&amp;sourceID=14","3.9")</f>
        <v>3.9</v>
      </c>
      <c r="G4293" s="4" t="str">
        <f>HYPERLINK("http://141.218.60.56/~jnz1568/getInfo.php?workbook=14_06.xlsx&amp;sheet=U0&amp;row=4293&amp;col=7&amp;number=0.00421&amp;sourceID=14","0.00421")</f>
        <v>0.00421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HYPERLINK("http://141.218.60.56/~jnz1568/getInfo.php?workbook=14_06.xlsx&amp;sheet=U0&amp;row=4294&amp;col=6&amp;number=4&amp;sourceID=14","4")</f>
        <v>4</v>
      </c>
      <c r="G4294" s="4" t="str">
        <f>HYPERLINK("http://141.218.60.56/~jnz1568/getInfo.php?workbook=14_06.xlsx&amp;sheet=U0&amp;row=4294&amp;col=7&amp;number=0.00421&amp;sourceID=14","0.00421")</f>
        <v>0.00421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HYPERLINK("http://141.218.60.56/~jnz1568/getInfo.php?workbook=14_06.xlsx&amp;sheet=U0&amp;row=4295&amp;col=6&amp;number=4.1&amp;sourceID=14","4.1")</f>
        <v>4.1</v>
      </c>
      <c r="G4295" s="4" t="str">
        <f>HYPERLINK("http://141.218.60.56/~jnz1568/getInfo.php?workbook=14_06.xlsx&amp;sheet=U0&amp;row=4295&amp;col=7&amp;number=0.00422&amp;sourceID=14","0.00422")</f>
        <v>0.00422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HYPERLINK("http://141.218.60.56/~jnz1568/getInfo.php?workbook=14_06.xlsx&amp;sheet=U0&amp;row=4296&amp;col=6&amp;number=4.2&amp;sourceID=14","4.2")</f>
        <v>4.2</v>
      </c>
      <c r="G4296" s="4" t="str">
        <f>HYPERLINK("http://141.218.60.56/~jnz1568/getInfo.php?workbook=14_06.xlsx&amp;sheet=U0&amp;row=4296&amp;col=7&amp;number=0.00422&amp;sourceID=14","0.00422")</f>
        <v>0.00422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HYPERLINK("http://141.218.60.56/~jnz1568/getInfo.php?workbook=14_06.xlsx&amp;sheet=U0&amp;row=4297&amp;col=6&amp;number=4.3&amp;sourceID=14","4.3")</f>
        <v>4.3</v>
      </c>
      <c r="G4297" s="4" t="str">
        <f>HYPERLINK("http://141.218.60.56/~jnz1568/getInfo.php?workbook=14_06.xlsx&amp;sheet=U0&amp;row=4297&amp;col=7&amp;number=0.00423&amp;sourceID=14","0.00423")</f>
        <v>0.00423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HYPERLINK("http://141.218.60.56/~jnz1568/getInfo.php?workbook=14_06.xlsx&amp;sheet=U0&amp;row=4298&amp;col=6&amp;number=4.4&amp;sourceID=14","4.4")</f>
        <v>4.4</v>
      </c>
      <c r="G4298" s="4" t="str">
        <f>HYPERLINK("http://141.218.60.56/~jnz1568/getInfo.php?workbook=14_06.xlsx&amp;sheet=U0&amp;row=4298&amp;col=7&amp;number=0.00424&amp;sourceID=14","0.00424")</f>
        <v>0.00424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HYPERLINK("http://141.218.60.56/~jnz1568/getInfo.php?workbook=14_06.xlsx&amp;sheet=U0&amp;row=4299&amp;col=6&amp;number=4.5&amp;sourceID=14","4.5")</f>
        <v>4.5</v>
      </c>
      <c r="G4299" s="4" t="str">
        <f>HYPERLINK("http://141.218.60.56/~jnz1568/getInfo.php?workbook=14_06.xlsx&amp;sheet=U0&amp;row=4299&amp;col=7&amp;number=0.00425&amp;sourceID=14","0.00425")</f>
        <v>0.00425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HYPERLINK("http://141.218.60.56/~jnz1568/getInfo.php?workbook=14_06.xlsx&amp;sheet=U0&amp;row=4300&amp;col=6&amp;number=4.6&amp;sourceID=14","4.6")</f>
        <v>4.6</v>
      </c>
      <c r="G4300" s="4" t="str">
        <f>HYPERLINK("http://141.218.60.56/~jnz1568/getInfo.php?workbook=14_06.xlsx&amp;sheet=U0&amp;row=4300&amp;col=7&amp;number=0.00427&amp;sourceID=14","0.00427")</f>
        <v>0.00427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HYPERLINK("http://141.218.60.56/~jnz1568/getInfo.php?workbook=14_06.xlsx&amp;sheet=U0&amp;row=4301&amp;col=6&amp;number=4.7&amp;sourceID=14","4.7")</f>
        <v>4.7</v>
      </c>
      <c r="G4301" s="4" t="str">
        <f>HYPERLINK("http://141.218.60.56/~jnz1568/getInfo.php?workbook=14_06.xlsx&amp;sheet=U0&amp;row=4301&amp;col=7&amp;number=0.00428&amp;sourceID=14","0.00428")</f>
        <v>0.00428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HYPERLINK("http://141.218.60.56/~jnz1568/getInfo.php?workbook=14_06.xlsx&amp;sheet=U0&amp;row=4302&amp;col=6&amp;number=4.8&amp;sourceID=14","4.8")</f>
        <v>4.8</v>
      </c>
      <c r="G4302" s="4" t="str">
        <f>HYPERLINK("http://141.218.60.56/~jnz1568/getInfo.php?workbook=14_06.xlsx&amp;sheet=U0&amp;row=4302&amp;col=7&amp;number=0.00431&amp;sourceID=14","0.00431")</f>
        <v>0.00431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HYPERLINK("http://141.218.60.56/~jnz1568/getInfo.php?workbook=14_06.xlsx&amp;sheet=U0&amp;row=4303&amp;col=6&amp;number=4.9&amp;sourceID=14","4.9")</f>
        <v>4.9</v>
      </c>
      <c r="G4303" s="4" t="str">
        <f>HYPERLINK("http://141.218.60.56/~jnz1568/getInfo.php?workbook=14_06.xlsx&amp;sheet=U0&amp;row=4303&amp;col=7&amp;number=0.00433&amp;sourceID=14","0.00433")</f>
        <v>0.00433</v>
      </c>
    </row>
    <row r="4304" spans="1:7">
      <c r="A4304" s="3">
        <v>14</v>
      </c>
      <c r="B4304" s="3">
        <v>6</v>
      </c>
      <c r="C4304" s="3">
        <v>6</v>
      </c>
      <c r="D4304" s="3">
        <v>7</v>
      </c>
      <c r="E4304" s="3">
        <v>1</v>
      </c>
      <c r="F4304" s="4" t="str">
        <f>HYPERLINK("http://141.218.60.56/~jnz1568/getInfo.php?workbook=14_06.xlsx&amp;sheet=U0&amp;row=4304&amp;col=6&amp;number=3&amp;sourceID=14","3")</f>
        <v>3</v>
      </c>
      <c r="G4304" s="4" t="str">
        <f>HYPERLINK("http://141.218.60.56/~jnz1568/getInfo.php?workbook=14_06.xlsx&amp;sheet=U0&amp;row=4304&amp;col=7&amp;number=0.135&amp;sourceID=14","0.135")</f>
        <v>0.135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HYPERLINK("http://141.218.60.56/~jnz1568/getInfo.php?workbook=14_06.xlsx&amp;sheet=U0&amp;row=4305&amp;col=6&amp;number=3.1&amp;sourceID=14","3.1")</f>
        <v>3.1</v>
      </c>
      <c r="G4305" s="4" t="str">
        <f>HYPERLINK("http://141.218.60.56/~jnz1568/getInfo.php?workbook=14_06.xlsx&amp;sheet=U0&amp;row=4305&amp;col=7&amp;number=0.135&amp;sourceID=14","0.135")</f>
        <v>0.135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HYPERLINK("http://141.218.60.56/~jnz1568/getInfo.php?workbook=14_06.xlsx&amp;sheet=U0&amp;row=4306&amp;col=6&amp;number=3.2&amp;sourceID=14","3.2")</f>
        <v>3.2</v>
      </c>
      <c r="G4306" s="4" t="str">
        <f>HYPERLINK("http://141.218.60.56/~jnz1568/getInfo.php?workbook=14_06.xlsx&amp;sheet=U0&amp;row=4306&amp;col=7&amp;number=0.135&amp;sourceID=14","0.135")</f>
        <v>0.135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HYPERLINK("http://141.218.60.56/~jnz1568/getInfo.php?workbook=14_06.xlsx&amp;sheet=U0&amp;row=4307&amp;col=6&amp;number=3.3&amp;sourceID=14","3.3")</f>
        <v>3.3</v>
      </c>
      <c r="G4307" s="4" t="str">
        <f>HYPERLINK("http://141.218.60.56/~jnz1568/getInfo.php?workbook=14_06.xlsx&amp;sheet=U0&amp;row=4307&amp;col=7&amp;number=0.135&amp;sourceID=14","0.135")</f>
        <v>0.135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HYPERLINK("http://141.218.60.56/~jnz1568/getInfo.php?workbook=14_06.xlsx&amp;sheet=U0&amp;row=4308&amp;col=6&amp;number=3.4&amp;sourceID=14","3.4")</f>
        <v>3.4</v>
      </c>
      <c r="G4308" s="4" t="str">
        <f>HYPERLINK("http://141.218.60.56/~jnz1568/getInfo.php?workbook=14_06.xlsx&amp;sheet=U0&amp;row=4308&amp;col=7&amp;number=0.135&amp;sourceID=14","0.135")</f>
        <v>0.135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HYPERLINK("http://141.218.60.56/~jnz1568/getInfo.php?workbook=14_06.xlsx&amp;sheet=U0&amp;row=4309&amp;col=6&amp;number=3.5&amp;sourceID=14","3.5")</f>
        <v>3.5</v>
      </c>
      <c r="G4309" s="4" t="str">
        <f>HYPERLINK("http://141.218.60.56/~jnz1568/getInfo.php?workbook=14_06.xlsx&amp;sheet=U0&amp;row=4309&amp;col=7&amp;number=0.135&amp;sourceID=14","0.135")</f>
        <v>0.135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HYPERLINK("http://141.218.60.56/~jnz1568/getInfo.php?workbook=14_06.xlsx&amp;sheet=U0&amp;row=4310&amp;col=6&amp;number=3.6&amp;sourceID=14","3.6")</f>
        <v>3.6</v>
      </c>
      <c r="G4310" s="4" t="str">
        <f>HYPERLINK("http://141.218.60.56/~jnz1568/getInfo.php?workbook=14_06.xlsx&amp;sheet=U0&amp;row=4310&amp;col=7&amp;number=0.135&amp;sourceID=14","0.135")</f>
        <v>0.135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HYPERLINK("http://141.218.60.56/~jnz1568/getInfo.php?workbook=14_06.xlsx&amp;sheet=U0&amp;row=4311&amp;col=6&amp;number=3.7&amp;sourceID=14","3.7")</f>
        <v>3.7</v>
      </c>
      <c r="G4311" s="4" t="str">
        <f>HYPERLINK("http://141.218.60.56/~jnz1568/getInfo.php?workbook=14_06.xlsx&amp;sheet=U0&amp;row=4311&amp;col=7&amp;number=0.135&amp;sourceID=14","0.135")</f>
        <v>0.135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HYPERLINK("http://141.218.60.56/~jnz1568/getInfo.php?workbook=14_06.xlsx&amp;sheet=U0&amp;row=4312&amp;col=6&amp;number=3.8&amp;sourceID=14","3.8")</f>
        <v>3.8</v>
      </c>
      <c r="G4312" s="4" t="str">
        <f>HYPERLINK("http://141.218.60.56/~jnz1568/getInfo.php?workbook=14_06.xlsx&amp;sheet=U0&amp;row=4312&amp;col=7&amp;number=0.135&amp;sourceID=14","0.135")</f>
        <v>0.135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HYPERLINK("http://141.218.60.56/~jnz1568/getInfo.php?workbook=14_06.xlsx&amp;sheet=U0&amp;row=4313&amp;col=6&amp;number=3.9&amp;sourceID=14","3.9")</f>
        <v>3.9</v>
      </c>
      <c r="G4313" s="4" t="str">
        <f>HYPERLINK("http://141.218.60.56/~jnz1568/getInfo.php?workbook=14_06.xlsx&amp;sheet=U0&amp;row=4313&amp;col=7&amp;number=0.135&amp;sourceID=14","0.135")</f>
        <v>0.135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HYPERLINK("http://141.218.60.56/~jnz1568/getInfo.php?workbook=14_06.xlsx&amp;sheet=U0&amp;row=4314&amp;col=6&amp;number=4&amp;sourceID=14","4")</f>
        <v>4</v>
      </c>
      <c r="G4314" s="4" t="str">
        <f>HYPERLINK("http://141.218.60.56/~jnz1568/getInfo.php?workbook=14_06.xlsx&amp;sheet=U0&amp;row=4314&amp;col=7&amp;number=0.134&amp;sourceID=14","0.134")</f>
        <v>0.134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HYPERLINK("http://141.218.60.56/~jnz1568/getInfo.php?workbook=14_06.xlsx&amp;sheet=U0&amp;row=4315&amp;col=6&amp;number=4.1&amp;sourceID=14","4.1")</f>
        <v>4.1</v>
      </c>
      <c r="G4315" s="4" t="str">
        <f>HYPERLINK("http://141.218.60.56/~jnz1568/getInfo.php?workbook=14_06.xlsx&amp;sheet=U0&amp;row=4315&amp;col=7&amp;number=0.134&amp;sourceID=14","0.134")</f>
        <v>0.134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HYPERLINK("http://141.218.60.56/~jnz1568/getInfo.php?workbook=14_06.xlsx&amp;sheet=U0&amp;row=4316&amp;col=6&amp;number=4.2&amp;sourceID=14","4.2")</f>
        <v>4.2</v>
      </c>
      <c r="G4316" s="4" t="str">
        <f>HYPERLINK("http://141.218.60.56/~jnz1568/getInfo.php?workbook=14_06.xlsx&amp;sheet=U0&amp;row=4316&amp;col=7&amp;number=0.134&amp;sourceID=14","0.134")</f>
        <v>0.134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HYPERLINK("http://141.218.60.56/~jnz1568/getInfo.php?workbook=14_06.xlsx&amp;sheet=U0&amp;row=4317&amp;col=6&amp;number=4.3&amp;sourceID=14","4.3")</f>
        <v>4.3</v>
      </c>
      <c r="G4317" s="4" t="str">
        <f>HYPERLINK("http://141.218.60.56/~jnz1568/getInfo.php?workbook=14_06.xlsx&amp;sheet=U0&amp;row=4317&amp;col=7&amp;number=0.134&amp;sourceID=14","0.134")</f>
        <v>0.134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HYPERLINK("http://141.218.60.56/~jnz1568/getInfo.php?workbook=14_06.xlsx&amp;sheet=U0&amp;row=4318&amp;col=6&amp;number=4.4&amp;sourceID=14","4.4")</f>
        <v>4.4</v>
      </c>
      <c r="G4318" s="4" t="str">
        <f>HYPERLINK("http://141.218.60.56/~jnz1568/getInfo.php?workbook=14_06.xlsx&amp;sheet=U0&amp;row=4318&amp;col=7&amp;number=0.134&amp;sourceID=14","0.134")</f>
        <v>0.134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HYPERLINK("http://141.218.60.56/~jnz1568/getInfo.php?workbook=14_06.xlsx&amp;sheet=U0&amp;row=4319&amp;col=6&amp;number=4.5&amp;sourceID=14","4.5")</f>
        <v>4.5</v>
      </c>
      <c r="G4319" s="4" t="str">
        <f>HYPERLINK("http://141.218.60.56/~jnz1568/getInfo.php?workbook=14_06.xlsx&amp;sheet=U0&amp;row=4319&amp;col=7&amp;number=0.134&amp;sourceID=14","0.134")</f>
        <v>0.134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HYPERLINK("http://141.218.60.56/~jnz1568/getInfo.php?workbook=14_06.xlsx&amp;sheet=U0&amp;row=4320&amp;col=6&amp;number=4.6&amp;sourceID=14","4.6")</f>
        <v>4.6</v>
      </c>
      <c r="G4320" s="4" t="str">
        <f>HYPERLINK("http://141.218.60.56/~jnz1568/getInfo.php?workbook=14_06.xlsx&amp;sheet=U0&amp;row=4320&amp;col=7&amp;number=0.134&amp;sourceID=14","0.134")</f>
        <v>0.134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HYPERLINK("http://141.218.60.56/~jnz1568/getInfo.php?workbook=14_06.xlsx&amp;sheet=U0&amp;row=4321&amp;col=6&amp;number=4.7&amp;sourceID=14","4.7")</f>
        <v>4.7</v>
      </c>
      <c r="G4321" s="4" t="str">
        <f>HYPERLINK("http://141.218.60.56/~jnz1568/getInfo.php?workbook=14_06.xlsx&amp;sheet=U0&amp;row=4321&amp;col=7&amp;number=0.133&amp;sourceID=14","0.133")</f>
        <v>0.133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HYPERLINK("http://141.218.60.56/~jnz1568/getInfo.php?workbook=14_06.xlsx&amp;sheet=U0&amp;row=4322&amp;col=6&amp;number=4.8&amp;sourceID=14","4.8")</f>
        <v>4.8</v>
      </c>
      <c r="G4322" s="4" t="str">
        <f>HYPERLINK("http://141.218.60.56/~jnz1568/getInfo.php?workbook=14_06.xlsx&amp;sheet=U0&amp;row=4322&amp;col=7&amp;number=0.133&amp;sourceID=14","0.133")</f>
        <v>0.133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HYPERLINK("http://141.218.60.56/~jnz1568/getInfo.php?workbook=14_06.xlsx&amp;sheet=U0&amp;row=4323&amp;col=6&amp;number=4.9&amp;sourceID=14","4.9")</f>
        <v>4.9</v>
      </c>
      <c r="G4323" s="4" t="str">
        <f>HYPERLINK("http://141.218.60.56/~jnz1568/getInfo.php?workbook=14_06.xlsx&amp;sheet=U0&amp;row=4323&amp;col=7&amp;number=0.132&amp;sourceID=14","0.132")</f>
        <v>0.132</v>
      </c>
    </row>
    <row r="4324" spans="1:7">
      <c r="A4324" s="3">
        <v>14</v>
      </c>
      <c r="B4324" s="3">
        <v>6</v>
      </c>
      <c r="C4324" s="3">
        <v>6</v>
      </c>
      <c r="D4324" s="3">
        <v>8</v>
      </c>
      <c r="E4324" s="3">
        <v>1</v>
      </c>
      <c r="F4324" s="4" t="str">
        <f>HYPERLINK("http://141.218.60.56/~jnz1568/getInfo.php?workbook=14_06.xlsx&amp;sheet=U0&amp;row=4324&amp;col=6&amp;number=3&amp;sourceID=14","3")</f>
        <v>3</v>
      </c>
      <c r="G4324" s="4" t="str">
        <f>HYPERLINK("http://141.218.60.56/~jnz1568/getInfo.php?workbook=14_06.xlsx&amp;sheet=U0&amp;row=4324&amp;col=7&amp;number=0.0812&amp;sourceID=14","0.0812")</f>
        <v>0.0812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HYPERLINK("http://141.218.60.56/~jnz1568/getInfo.php?workbook=14_06.xlsx&amp;sheet=U0&amp;row=4325&amp;col=6&amp;number=3.1&amp;sourceID=14","3.1")</f>
        <v>3.1</v>
      </c>
      <c r="G4325" s="4" t="str">
        <f>HYPERLINK("http://141.218.60.56/~jnz1568/getInfo.php?workbook=14_06.xlsx&amp;sheet=U0&amp;row=4325&amp;col=7&amp;number=0.0811&amp;sourceID=14","0.0811")</f>
        <v>0.0811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HYPERLINK("http://141.218.60.56/~jnz1568/getInfo.php?workbook=14_06.xlsx&amp;sheet=U0&amp;row=4326&amp;col=6&amp;number=3.2&amp;sourceID=14","3.2")</f>
        <v>3.2</v>
      </c>
      <c r="G4326" s="4" t="str">
        <f>HYPERLINK("http://141.218.60.56/~jnz1568/getInfo.php?workbook=14_06.xlsx&amp;sheet=U0&amp;row=4326&amp;col=7&amp;number=0.0811&amp;sourceID=14","0.0811")</f>
        <v>0.0811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HYPERLINK("http://141.218.60.56/~jnz1568/getInfo.php?workbook=14_06.xlsx&amp;sheet=U0&amp;row=4327&amp;col=6&amp;number=3.3&amp;sourceID=14","3.3")</f>
        <v>3.3</v>
      </c>
      <c r="G4327" s="4" t="str">
        <f>HYPERLINK("http://141.218.60.56/~jnz1568/getInfo.php?workbook=14_06.xlsx&amp;sheet=U0&amp;row=4327&amp;col=7&amp;number=0.0811&amp;sourceID=14","0.0811")</f>
        <v>0.0811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HYPERLINK("http://141.218.60.56/~jnz1568/getInfo.php?workbook=14_06.xlsx&amp;sheet=U0&amp;row=4328&amp;col=6&amp;number=3.4&amp;sourceID=14","3.4")</f>
        <v>3.4</v>
      </c>
      <c r="G4328" s="4" t="str">
        <f>HYPERLINK("http://141.218.60.56/~jnz1568/getInfo.php?workbook=14_06.xlsx&amp;sheet=U0&amp;row=4328&amp;col=7&amp;number=0.0811&amp;sourceID=14","0.0811")</f>
        <v>0.0811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HYPERLINK("http://141.218.60.56/~jnz1568/getInfo.php?workbook=14_06.xlsx&amp;sheet=U0&amp;row=4329&amp;col=6&amp;number=3.5&amp;sourceID=14","3.5")</f>
        <v>3.5</v>
      </c>
      <c r="G4329" s="4" t="str">
        <f>HYPERLINK("http://141.218.60.56/~jnz1568/getInfo.php?workbook=14_06.xlsx&amp;sheet=U0&amp;row=4329&amp;col=7&amp;number=0.0811&amp;sourceID=14","0.0811")</f>
        <v>0.0811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HYPERLINK("http://141.218.60.56/~jnz1568/getInfo.php?workbook=14_06.xlsx&amp;sheet=U0&amp;row=4330&amp;col=6&amp;number=3.6&amp;sourceID=14","3.6")</f>
        <v>3.6</v>
      </c>
      <c r="G4330" s="4" t="str">
        <f>HYPERLINK("http://141.218.60.56/~jnz1568/getInfo.php?workbook=14_06.xlsx&amp;sheet=U0&amp;row=4330&amp;col=7&amp;number=0.0811&amp;sourceID=14","0.0811")</f>
        <v>0.0811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HYPERLINK("http://141.218.60.56/~jnz1568/getInfo.php?workbook=14_06.xlsx&amp;sheet=U0&amp;row=4331&amp;col=6&amp;number=3.7&amp;sourceID=14","3.7")</f>
        <v>3.7</v>
      </c>
      <c r="G4331" s="4" t="str">
        <f>HYPERLINK("http://141.218.60.56/~jnz1568/getInfo.php?workbook=14_06.xlsx&amp;sheet=U0&amp;row=4331&amp;col=7&amp;number=0.0811&amp;sourceID=14","0.0811")</f>
        <v>0.0811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HYPERLINK("http://141.218.60.56/~jnz1568/getInfo.php?workbook=14_06.xlsx&amp;sheet=U0&amp;row=4332&amp;col=6&amp;number=3.8&amp;sourceID=14","3.8")</f>
        <v>3.8</v>
      </c>
      <c r="G4332" s="4" t="str">
        <f>HYPERLINK("http://141.218.60.56/~jnz1568/getInfo.php?workbook=14_06.xlsx&amp;sheet=U0&amp;row=4332&amp;col=7&amp;number=0.081&amp;sourceID=14","0.081")</f>
        <v>0.081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HYPERLINK("http://141.218.60.56/~jnz1568/getInfo.php?workbook=14_06.xlsx&amp;sheet=U0&amp;row=4333&amp;col=6&amp;number=3.9&amp;sourceID=14","3.9")</f>
        <v>3.9</v>
      </c>
      <c r="G4333" s="4" t="str">
        <f>HYPERLINK("http://141.218.60.56/~jnz1568/getInfo.php?workbook=14_06.xlsx&amp;sheet=U0&amp;row=4333&amp;col=7&amp;number=0.081&amp;sourceID=14","0.081")</f>
        <v>0.081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HYPERLINK("http://141.218.60.56/~jnz1568/getInfo.php?workbook=14_06.xlsx&amp;sheet=U0&amp;row=4334&amp;col=6&amp;number=4&amp;sourceID=14","4")</f>
        <v>4</v>
      </c>
      <c r="G4334" s="4" t="str">
        <f>HYPERLINK("http://141.218.60.56/~jnz1568/getInfo.php?workbook=14_06.xlsx&amp;sheet=U0&amp;row=4334&amp;col=7&amp;number=0.081&amp;sourceID=14","0.081")</f>
        <v>0.081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HYPERLINK("http://141.218.60.56/~jnz1568/getInfo.php?workbook=14_06.xlsx&amp;sheet=U0&amp;row=4335&amp;col=6&amp;number=4.1&amp;sourceID=14","4.1")</f>
        <v>4.1</v>
      </c>
      <c r="G4335" s="4" t="str">
        <f>HYPERLINK("http://141.218.60.56/~jnz1568/getInfo.php?workbook=14_06.xlsx&amp;sheet=U0&amp;row=4335&amp;col=7&amp;number=0.0809&amp;sourceID=14","0.0809")</f>
        <v>0.0809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HYPERLINK("http://141.218.60.56/~jnz1568/getInfo.php?workbook=14_06.xlsx&amp;sheet=U0&amp;row=4336&amp;col=6&amp;number=4.2&amp;sourceID=14","4.2")</f>
        <v>4.2</v>
      </c>
      <c r="G4336" s="4" t="str">
        <f>HYPERLINK("http://141.218.60.56/~jnz1568/getInfo.php?workbook=14_06.xlsx&amp;sheet=U0&amp;row=4336&amp;col=7&amp;number=0.0809&amp;sourceID=14","0.0809")</f>
        <v>0.0809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HYPERLINK("http://141.218.60.56/~jnz1568/getInfo.php?workbook=14_06.xlsx&amp;sheet=U0&amp;row=4337&amp;col=6&amp;number=4.3&amp;sourceID=14","4.3")</f>
        <v>4.3</v>
      </c>
      <c r="G4337" s="4" t="str">
        <f>HYPERLINK("http://141.218.60.56/~jnz1568/getInfo.php?workbook=14_06.xlsx&amp;sheet=U0&amp;row=4337&amp;col=7&amp;number=0.0808&amp;sourceID=14","0.0808")</f>
        <v>0.0808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HYPERLINK("http://141.218.60.56/~jnz1568/getInfo.php?workbook=14_06.xlsx&amp;sheet=U0&amp;row=4338&amp;col=6&amp;number=4.4&amp;sourceID=14","4.4")</f>
        <v>4.4</v>
      </c>
      <c r="G4338" s="4" t="str">
        <f>HYPERLINK("http://141.218.60.56/~jnz1568/getInfo.php?workbook=14_06.xlsx&amp;sheet=U0&amp;row=4338&amp;col=7&amp;number=0.0807&amp;sourceID=14","0.0807")</f>
        <v>0.0807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HYPERLINK("http://141.218.60.56/~jnz1568/getInfo.php?workbook=14_06.xlsx&amp;sheet=U0&amp;row=4339&amp;col=6&amp;number=4.5&amp;sourceID=14","4.5")</f>
        <v>4.5</v>
      </c>
      <c r="G4339" s="4" t="str">
        <f>HYPERLINK("http://141.218.60.56/~jnz1568/getInfo.php?workbook=14_06.xlsx&amp;sheet=U0&amp;row=4339&amp;col=7&amp;number=0.0806&amp;sourceID=14","0.0806")</f>
        <v>0.0806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HYPERLINK("http://141.218.60.56/~jnz1568/getInfo.php?workbook=14_06.xlsx&amp;sheet=U0&amp;row=4340&amp;col=6&amp;number=4.6&amp;sourceID=14","4.6")</f>
        <v>4.6</v>
      </c>
      <c r="G4340" s="4" t="str">
        <f>HYPERLINK("http://141.218.60.56/~jnz1568/getInfo.php?workbook=14_06.xlsx&amp;sheet=U0&amp;row=4340&amp;col=7&amp;number=0.0804&amp;sourceID=14","0.0804")</f>
        <v>0.0804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HYPERLINK("http://141.218.60.56/~jnz1568/getInfo.php?workbook=14_06.xlsx&amp;sheet=U0&amp;row=4341&amp;col=6&amp;number=4.7&amp;sourceID=14","4.7")</f>
        <v>4.7</v>
      </c>
      <c r="G4341" s="4" t="str">
        <f>HYPERLINK("http://141.218.60.56/~jnz1568/getInfo.php?workbook=14_06.xlsx&amp;sheet=U0&amp;row=4341&amp;col=7&amp;number=0.0802&amp;sourceID=14","0.0802")</f>
        <v>0.0802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HYPERLINK("http://141.218.60.56/~jnz1568/getInfo.php?workbook=14_06.xlsx&amp;sheet=U0&amp;row=4342&amp;col=6&amp;number=4.8&amp;sourceID=14","4.8")</f>
        <v>4.8</v>
      </c>
      <c r="G4342" s="4" t="str">
        <f>HYPERLINK("http://141.218.60.56/~jnz1568/getInfo.php?workbook=14_06.xlsx&amp;sheet=U0&amp;row=4342&amp;col=7&amp;number=0.08&amp;sourceID=14","0.08")</f>
        <v>0.08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HYPERLINK("http://141.218.60.56/~jnz1568/getInfo.php?workbook=14_06.xlsx&amp;sheet=U0&amp;row=4343&amp;col=6&amp;number=4.9&amp;sourceID=14","4.9")</f>
        <v>4.9</v>
      </c>
      <c r="G4343" s="4" t="str">
        <f>HYPERLINK("http://141.218.60.56/~jnz1568/getInfo.php?workbook=14_06.xlsx&amp;sheet=U0&amp;row=4343&amp;col=7&amp;number=0.0797&amp;sourceID=14","0.0797")</f>
        <v>0.0797</v>
      </c>
    </row>
    <row r="4344" spans="1:7">
      <c r="A4344" s="3">
        <v>14</v>
      </c>
      <c r="B4344" s="3">
        <v>6</v>
      </c>
      <c r="C4344" s="3">
        <v>6</v>
      </c>
      <c r="D4344" s="3">
        <v>9</v>
      </c>
      <c r="E4344" s="3">
        <v>1</v>
      </c>
      <c r="F4344" s="4" t="str">
        <f>HYPERLINK("http://141.218.60.56/~jnz1568/getInfo.php?workbook=14_06.xlsx&amp;sheet=U0&amp;row=4344&amp;col=6&amp;number=3&amp;sourceID=14","3")</f>
        <v>3</v>
      </c>
      <c r="G4344" s="4" t="str">
        <f>HYPERLINK("http://141.218.60.56/~jnz1568/getInfo.php?workbook=14_06.xlsx&amp;sheet=U0&amp;row=4344&amp;col=7&amp;number=0.189&amp;sourceID=14","0.189")</f>
        <v>0.189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HYPERLINK("http://141.218.60.56/~jnz1568/getInfo.php?workbook=14_06.xlsx&amp;sheet=U0&amp;row=4345&amp;col=6&amp;number=3.1&amp;sourceID=14","3.1")</f>
        <v>3.1</v>
      </c>
      <c r="G4345" s="4" t="str">
        <f>HYPERLINK("http://141.218.60.56/~jnz1568/getInfo.php?workbook=14_06.xlsx&amp;sheet=U0&amp;row=4345&amp;col=7&amp;number=0.189&amp;sourceID=14","0.189")</f>
        <v>0.189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HYPERLINK("http://141.218.60.56/~jnz1568/getInfo.php?workbook=14_06.xlsx&amp;sheet=U0&amp;row=4346&amp;col=6&amp;number=3.2&amp;sourceID=14","3.2")</f>
        <v>3.2</v>
      </c>
      <c r="G4346" s="4" t="str">
        <f>HYPERLINK("http://141.218.60.56/~jnz1568/getInfo.php?workbook=14_06.xlsx&amp;sheet=U0&amp;row=4346&amp;col=7&amp;number=0.189&amp;sourceID=14","0.189")</f>
        <v>0.189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HYPERLINK("http://141.218.60.56/~jnz1568/getInfo.php?workbook=14_06.xlsx&amp;sheet=U0&amp;row=4347&amp;col=6&amp;number=3.3&amp;sourceID=14","3.3")</f>
        <v>3.3</v>
      </c>
      <c r="G4347" s="4" t="str">
        <f>HYPERLINK("http://141.218.60.56/~jnz1568/getInfo.php?workbook=14_06.xlsx&amp;sheet=U0&amp;row=4347&amp;col=7&amp;number=0.189&amp;sourceID=14","0.189")</f>
        <v>0.189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HYPERLINK("http://141.218.60.56/~jnz1568/getInfo.php?workbook=14_06.xlsx&amp;sheet=U0&amp;row=4348&amp;col=6&amp;number=3.4&amp;sourceID=14","3.4")</f>
        <v>3.4</v>
      </c>
      <c r="G4348" s="4" t="str">
        <f>HYPERLINK("http://141.218.60.56/~jnz1568/getInfo.php?workbook=14_06.xlsx&amp;sheet=U0&amp;row=4348&amp;col=7&amp;number=0.189&amp;sourceID=14","0.189")</f>
        <v>0.189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HYPERLINK("http://141.218.60.56/~jnz1568/getInfo.php?workbook=14_06.xlsx&amp;sheet=U0&amp;row=4349&amp;col=6&amp;number=3.5&amp;sourceID=14","3.5")</f>
        <v>3.5</v>
      </c>
      <c r="G4349" s="4" t="str">
        <f>HYPERLINK("http://141.218.60.56/~jnz1568/getInfo.php?workbook=14_06.xlsx&amp;sheet=U0&amp;row=4349&amp;col=7&amp;number=0.189&amp;sourceID=14","0.189")</f>
        <v>0.189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HYPERLINK("http://141.218.60.56/~jnz1568/getInfo.php?workbook=14_06.xlsx&amp;sheet=U0&amp;row=4350&amp;col=6&amp;number=3.6&amp;sourceID=14","3.6")</f>
        <v>3.6</v>
      </c>
      <c r="G4350" s="4" t="str">
        <f>HYPERLINK("http://141.218.60.56/~jnz1568/getInfo.php?workbook=14_06.xlsx&amp;sheet=U0&amp;row=4350&amp;col=7&amp;number=0.189&amp;sourceID=14","0.189")</f>
        <v>0.189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HYPERLINK("http://141.218.60.56/~jnz1568/getInfo.php?workbook=14_06.xlsx&amp;sheet=U0&amp;row=4351&amp;col=6&amp;number=3.7&amp;sourceID=14","3.7")</f>
        <v>3.7</v>
      </c>
      <c r="G4351" s="4" t="str">
        <f>HYPERLINK("http://141.218.60.56/~jnz1568/getInfo.php?workbook=14_06.xlsx&amp;sheet=U0&amp;row=4351&amp;col=7&amp;number=0.188&amp;sourceID=14","0.188")</f>
        <v>0.188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HYPERLINK("http://141.218.60.56/~jnz1568/getInfo.php?workbook=14_06.xlsx&amp;sheet=U0&amp;row=4352&amp;col=6&amp;number=3.8&amp;sourceID=14","3.8")</f>
        <v>3.8</v>
      </c>
      <c r="G4352" s="4" t="str">
        <f>HYPERLINK("http://141.218.60.56/~jnz1568/getInfo.php?workbook=14_06.xlsx&amp;sheet=U0&amp;row=4352&amp;col=7&amp;number=0.188&amp;sourceID=14","0.188")</f>
        <v>0.188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HYPERLINK("http://141.218.60.56/~jnz1568/getInfo.php?workbook=14_06.xlsx&amp;sheet=U0&amp;row=4353&amp;col=6&amp;number=3.9&amp;sourceID=14","3.9")</f>
        <v>3.9</v>
      </c>
      <c r="G4353" s="4" t="str">
        <f>HYPERLINK("http://141.218.60.56/~jnz1568/getInfo.php?workbook=14_06.xlsx&amp;sheet=U0&amp;row=4353&amp;col=7&amp;number=0.188&amp;sourceID=14","0.188")</f>
        <v>0.188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HYPERLINK("http://141.218.60.56/~jnz1568/getInfo.php?workbook=14_06.xlsx&amp;sheet=U0&amp;row=4354&amp;col=6&amp;number=4&amp;sourceID=14","4")</f>
        <v>4</v>
      </c>
      <c r="G4354" s="4" t="str">
        <f>HYPERLINK("http://141.218.60.56/~jnz1568/getInfo.php?workbook=14_06.xlsx&amp;sheet=U0&amp;row=4354&amp;col=7&amp;number=0.188&amp;sourceID=14","0.188")</f>
        <v>0.188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HYPERLINK("http://141.218.60.56/~jnz1568/getInfo.php?workbook=14_06.xlsx&amp;sheet=U0&amp;row=4355&amp;col=6&amp;number=4.1&amp;sourceID=14","4.1")</f>
        <v>4.1</v>
      </c>
      <c r="G4355" s="4" t="str">
        <f>HYPERLINK("http://141.218.60.56/~jnz1568/getInfo.php?workbook=14_06.xlsx&amp;sheet=U0&amp;row=4355&amp;col=7&amp;number=0.188&amp;sourceID=14","0.188")</f>
        <v>0.188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HYPERLINK("http://141.218.60.56/~jnz1568/getInfo.php?workbook=14_06.xlsx&amp;sheet=U0&amp;row=4356&amp;col=6&amp;number=4.2&amp;sourceID=14","4.2")</f>
        <v>4.2</v>
      </c>
      <c r="G4356" s="4" t="str">
        <f>HYPERLINK("http://141.218.60.56/~jnz1568/getInfo.php?workbook=14_06.xlsx&amp;sheet=U0&amp;row=4356&amp;col=7&amp;number=0.188&amp;sourceID=14","0.188")</f>
        <v>0.188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HYPERLINK("http://141.218.60.56/~jnz1568/getInfo.php?workbook=14_06.xlsx&amp;sheet=U0&amp;row=4357&amp;col=6&amp;number=4.3&amp;sourceID=14","4.3")</f>
        <v>4.3</v>
      </c>
      <c r="G4357" s="4" t="str">
        <f>HYPERLINK("http://141.218.60.56/~jnz1568/getInfo.php?workbook=14_06.xlsx&amp;sheet=U0&amp;row=4357&amp;col=7&amp;number=0.188&amp;sourceID=14","0.188")</f>
        <v>0.188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HYPERLINK("http://141.218.60.56/~jnz1568/getInfo.php?workbook=14_06.xlsx&amp;sheet=U0&amp;row=4358&amp;col=6&amp;number=4.4&amp;sourceID=14","4.4")</f>
        <v>4.4</v>
      </c>
      <c r="G4358" s="4" t="str">
        <f>HYPERLINK("http://141.218.60.56/~jnz1568/getInfo.php?workbook=14_06.xlsx&amp;sheet=U0&amp;row=4358&amp;col=7&amp;number=0.188&amp;sourceID=14","0.188")</f>
        <v>0.188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HYPERLINK("http://141.218.60.56/~jnz1568/getInfo.php?workbook=14_06.xlsx&amp;sheet=U0&amp;row=4359&amp;col=6&amp;number=4.5&amp;sourceID=14","4.5")</f>
        <v>4.5</v>
      </c>
      <c r="G4359" s="4" t="str">
        <f>HYPERLINK("http://141.218.60.56/~jnz1568/getInfo.php?workbook=14_06.xlsx&amp;sheet=U0&amp;row=4359&amp;col=7&amp;number=0.187&amp;sourceID=14","0.187")</f>
        <v>0.187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HYPERLINK("http://141.218.60.56/~jnz1568/getInfo.php?workbook=14_06.xlsx&amp;sheet=U0&amp;row=4360&amp;col=6&amp;number=4.6&amp;sourceID=14","4.6")</f>
        <v>4.6</v>
      </c>
      <c r="G4360" s="4" t="str">
        <f>HYPERLINK("http://141.218.60.56/~jnz1568/getInfo.php?workbook=14_06.xlsx&amp;sheet=U0&amp;row=4360&amp;col=7&amp;number=0.187&amp;sourceID=14","0.187")</f>
        <v>0.187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HYPERLINK("http://141.218.60.56/~jnz1568/getInfo.php?workbook=14_06.xlsx&amp;sheet=U0&amp;row=4361&amp;col=6&amp;number=4.7&amp;sourceID=14","4.7")</f>
        <v>4.7</v>
      </c>
      <c r="G4361" s="4" t="str">
        <f>HYPERLINK("http://141.218.60.56/~jnz1568/getInfo.php?workbook=14_06.xlsx&amp;sheet=U0&amp;row=4361&amp;col=7&amp;number=0.187&amp;sourceID=14","0.187")</f>
        <v>0.187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HYPERLINK("http://141.218.60.56/~jnz1568/getInfo.php?workbook=14_06.xlsx&amp;sheet=U0&amp;row=4362&amp;col=6&amp;number=4.8&amp;sourceID=14","4.8")</f>
        <v>4.8</v>
      </c>
      <c r="G4362" s="4" t="str">
        <f>HYPERLINK("http://141.218.60.56/~jnz1568/getInfo.php?workbook=14_06.xlsx&amp;sheet=U0&amp;row=4362&amp;col=7&amp;number=0.186&amp;sourceID=14","0.186")</f>
        <v>0.186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HYPERLINK("http://141.218.60.56/~jnz1568/getInfo.php?workbook=14_06.xlsx&amp;sheet=U0&amp;row=4363&amp;col=6&amp;number=4.9&amp;sourceID=14","4.9")</f>
        <v>4.9</v>
      </c>
      <c r="G4363" s="4" t="str">
        <f>HYPERLINK("http://141.218.60.56/~jnz1568/getInfo.php?workbook=14_06.xlsx&amp;sheet=U0&amp;row=4363&amp;col=7&amp;number=0.185&amp;sourceID=14","0.185")</f>
        <v>0.185</v>
      </c>
    </row>
    <row r="4364" spans="1:7">
      <c r="A4364" s="3">
        <v>14</v>
      </c>
      <c r="B4364" s="3">
        <v>6</v>
      </c>
      <c r="C4364" s="3">
        <v>6</v>
      </c>
      <c r="D4364" s="3">
        <v>10</v>
      </c>
      <c r="E4364" s="3">
        <v>1</v>
      </c>
      <c r="F4364" s="4" t="str">
        <f>HYPERLINK("http://141.218.60.56/~jnz1568/getInfo.php?workbook=14_06.xlsx&amp;sheet=U0&amp;row=4364&amp;col=6&amp;number=3&amp;sourceID=14","3")</f>
        <v>3</v>
      </c>
      <c r="G4364" s="4" t="str">
        <f>HYPERLINK("http://141.218.60.56/~jnz1568/getInfo.php?workbook=14_06.xlsx&amp;sheet=U0&amp;row=4364&amp;col=7&amp;number=0.017&amp;sourceID=14","0.017")</f>
        <v>0.017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HYPERLINK("http://141.218.60.56/~jnz1568/getInfo.php?workbook=14_06.xlsx&amp;sheet=U0&amp;row=4365&amp;col=6&amp;number=3.1&amp;sourceID=14","3.1")</f>
        <v>3.1</v>
      </c>
      <c r="G4365" s="4" t="str">
        <f>HYPERLINK("http://141.218.60.56/~jnz1568/getInfo.php?workbook=14_06.xlsx&amp;sheet=U0&amp;row=4365&amp;col=7&amp;number=0.017&amp;sourceID=14","0.017")</f>
        <v>0.017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HYPERLINK("http://141.218.60.56/~jnz1568/getInfo.php?workbook=14_06.xlsx&amp;sheet=U0&amp;row=4366&amp;col=6&amp;number=3.2&amp;sourceID=14","3.2")</f>
        <v>3.2</v>
      </c>
      <c r="G4366" s="4" t="str">
        <f>HYPERLINK("http://141.218.60.56/~jnz1568/getInfo.php?workbook=14_06.xlsx&amp;sheet=U0&amp;row=4366&amp;col=7&amp;number=0.017&amp;sourceID=14","0.017")</f>
        <v>0.017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HYPERLINK("http://141.218.60.56/~jnz1568/getInfo.php?workbook=14_06.xlsx&amp;sheet=U0&amp;row=4367&amp;col=6&amp;number=3.3&amp;sourceID=14","3.3")</f>
        <v>3.3</v>
      </c>
      <c r="G4367" s="4" t="str">
        <f>HYPERLINK("http://141.218.60.56/~jnz1568/getInfo.php?workbook=14_06.xlsx&amp;sheet=U0&amp;row=4367&amp;col=7&amp;number=0.017&amp;sourceID=14","0.017")</f>
        <v>0.017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HYPERLINK("http://141.218.60.56/~jnz1568/getInfo.php?workbook=14_06.xlsx&amp;sheet=U0&amp;row=4368&amp;col=6&amp;number=3.4&amp;sourceID=14","3.4")</f>
        <v>3.4</v>
      </c>
      <c r="G4368" s="4" t="str">
        <f>HYPERLINK("http://141.218.60.56/~jnz1568/getInfo.php?workbook=14_06.xlsx&amp;sheet=U0&amp;row=4368&amp;col=7&amp;number=0.0169&amp;sourceID=14","0.0169")</f>
        <v>0.0169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HYPERLINK("http://141.218.60.56/~jnz1568/getInfo.php?workbook=14_06.xlsx&amp;sheet=U0&amp;row=4369&amp;col=6&amp;number=3.5&amp;sourceID=14","3.5")</f>
        <v>3.5</v>
      </c>
      <c r="G4369" s="4" t="str">
        <f>HYPERLINK("http://141.218.60.56/~jnz1568/getInfo.php?workbook=14_06.xlsx&amp;sheet=U0&amp;row=4369&amp;col=7&amp;number=0.0169&amp;sourceID=14","0.0169")</f>
        <v>0.0169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HYPERLINK("http://141.218.60.56/~jnz1568/getInfo.php?workbook=14_06.xlsx&amp;sheet=U0&amp;row=4370&amp;col=6&amp;number=3.6&amp;sourceID=14","3.6")</f>
        <v>3.6</v>
      </c>
      <c r="G4370" s="4" t="str">
        <f>HYPERLINK("http://141.218.60.56/~jnz1568/getInfo.php?workbook=14_06.xlsx&amp;sheet=U0&amp;row=4370&amp;col=7&amp;number=0.0169&amp;sourceID=14","0.0169")</f>
        <v>0.0169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HYPERLINK("http://141.218.60.56/~jnz1568/getInfo.php?workbook=14_06.xlsx&amp;sheet=U0&amp;row=4371&amp;col=6&amp;number=3.7&amp;sourceID=14","3.7")</f>
        <v>3.7</v>
      </c>
      <c r="G4371" s="4" t="str">
        <f>HYPERLINK("http://141.218.60.56/~jnz1568/getInfo.php?workbook=14_06.xlsx&amp;sheet=U0&amp;row=4371&amp;col=7&amp;number=0.0169&amp;sourceID=14","0.0169")</f>
        <v>0.0169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HYPERLINK("http://141.218.60.56/~jnz1568/getInfo.php?workbook=14_06.xlsx&amp;sheet=U0&amp;row=4372&amp;col=6&amp;number=3.8&amp;sourceID=14","3.8")</f>
        <v>3.8</v>
      </c>
      <c r="G4372" s="4" t="str">
        <f>HYPERLINK("http://141.218.60.56/~jnz1568/getInfo.php?workbook=14_06.xlsx&amp;sheet=U0&amp;row=4372&amp;col=7&amp;number=0.0169&amp;sourceID=14","0.0169")</f>
        <v>0.0169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HYPERLINK("http://141.218.60.56/~jnz1568/getInfo.php?workbook=14_06.xlsx&amp;sheet=U0&amp;row=4373&amp;col=6&amp;number=3.9&amp;sourceID=14","3.9")</f>
        <v>3.9</v>
      </c>
      <c r="G4373" s="4" t="str">
        <f>HYPERLINK("http://141.218.60.56/~jnz1568/getInfo.php?workbook=14_06.xlsx&amp;sheet=U0&amp;row=4373&amp;col=7&amp;number=0.0169&amp;sourceID=14","0.0169")</f>
        <v>0.0169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HYPERLINK("http://141.218.60.56/~jnz1568/getInfo.php?workbook=14_06.xlsx&amp;sheet=U0&amp;row=4374&amp;col=6&amp;number=4&amp;sourceID=14","4")</f>
        <v>4</v>
      </c>
      <c r="G4374" s="4" t="str">
        <f>HYPERLINK("http://141.218.60.56/~jnz1568/getInfo.php?workbook=14_06.xlsx&amp;sheet=U0&amp;row=4374&amp;col=7&amp;number=0.0169&amp;sourceID=14","0.0169")</f>
        <v>0.0169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HYPERLINK("http://141.218.60.56/~jnz1568/getInfo.php?workbook=14_06.xlsx&amp;sheet=U0&amp;row=4375&amp;col=6&amp;number=4.1&amp;sourceID=14","4.1")</f>
        <v>4.1</v>
      </c>
      <c r="G4375" s="4" t="str">
        <f>HYPERLINK("http://141.218.60.56/~jnz1568/getInfo.php?workbook=14_06.xlsx&amp;sheet=U0&amp;row=4375&amp;col=7&amp;number=0.0169&amp;sourceID=14","0.0169")</f>
        <v>0.0169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HYPERLINK("http://141.218.60.56/~jnz1568/getInfo.php?workbook=14_06.xlsx&amp;sheet=U0&amp;row=4376&amp;col=6&amp;number=4.2&amp;sourceID=14","4.2")</f>
        <v>4.2</v>
      </c>
      <c r="G4376" s="4" t="str">
        <f>HYPERLINK("http://141.218.60.56/~jnz1568/getInfo.php?workbook=14_06.xlsx&amp;sheet=U0&amp;row=4376&amp;col=7&amp;number=0.0169&amp;sourceID=14","0.0169")</f>
        <v>0.0169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HYPERLINK("http://141.218.60.56/~jnz1568/getInfo.php?workbook=14_06.xlsx&amp;sheet=U0&amp;row=4377&amp;col=6&amp;number=4.3&amp;sourceID=14","4.3")</f>
        <v>4.3</v>
      </c>
      <c r="G4377" s="4" t="str">
        <f>HYPERLINK("http://141.218.60.56/~jnz1568/getInfo.php?workbook=14_06.xlsx&amp;sheet=U0&amp;row=4377&amp;col=7&amp;number=0.0169&amp;sourceID=14","0.0169")</f>
        <v>0.0169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HYPERLINK("http://141.218.60.56/~jnz1568/getInfo.php?workbook=14_06.xlsx&amp;sheet=U0&amp;row=4378&amp;col=6&amp;number=4.4&amp;sourceID=14","4.4")</f>
        <v>4.4</v>
      </c>
      <c r="G4378" s="4" t="str">
        <f>HYPERLINK("http://141.218.60.56/~jnz1568/getInfo.php?workbook=14_06.xlsx&amp;sheet=U0&amp;row=4378&amp;col=7&amp;number=0.0169&amp;sourceID=14","0.0169")</f>
        <v>0.0169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HYPERLINK("http://141.218.60.56/~jnz1568/getInfo.php?workbook=14_06.xlsx&amp;sheet=U0&amp;row=4379&amp;col=6&amp;number=4.5&amp;sourceID=14","4.5")</f>
        <v>4.5</v>
      </c>
      <c r="G4379" s="4" t="str">
        <f>HYPERLINK("http://141.218.60.56/~jnz1568/getInfo.php?workbook=14_06.xlsx&amp;sheet=U0&amp;row=4379&amp;col=7&amp;number=0.0168&amp;sourceID=14","0.0168")</f>
        <v>0.0168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HYPERLINK("http://141.218.60.56/~jnz1568/getInfo.php?workbook=14_06.xlsx&amp;sheet=U0&amp;row=4380&amp;col=6&amp;number=4.6&amp;sourceID=14","4.6")</f>
        <v>4.6</v>
      </c>
      <c r="G4380" s="4" t="str">
        <f>HYPERLINK("http://141.218.60.56/~jnz1568/getInfo.php?workbook=14_06.xlsx&amp;sheet=U0&amp;row=4380&amp;col=7&amp;number=0.0168&amp;sourceID=14","0.0168")</f>
        <v>0.0168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HYPERLINK("http://141.218.60.56/~jnz1568/getInfo.php?workbook=14_06.xlsx&amp;sheet=U0&amp;row=4381&amp;col=6&amp;number=4.7&amp;sourceID=14","4.7")</f>
        <v>4.7</v>
      </c>
      <c r="G4381" s="4" t="str">
        <f>HYPERLINK("http://141.218.60.56/~jnz1568/getInfo.php?workbook=14_06.xlsx&amp;sheet=U0&amp;row=4381&amp;col=7&amp;number=0.0168&amp;sourceID=14","0.0168")</f>
        <v>0.0168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HYPERLINK("http://141.218.60.56/~jnz1568/getInfo.php?workbook=14_06.xlsx&amp;sheet=U0&amp;row=4382&amp;col=6&amp;number=4.8&amp;sourceID=14","4.8")</f>
        <v>4.8</v>
      </c>
      <c r="G4382" s="4" t="str">
        <f>HYPERLINK("http://141.218.60.56/~jnz1568/getInfo.php?workbook=14_06.xlsx&amp;sheet=U0&amp;row=4382&amp;col=7&amp;number=0.0167&amp;sourceID=14","0.0167")</f>
        <v>0.0167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HYPERLINK("http://141.218.60.56/~jnz1568/getInfo.php?workbook=14_06.xlsx&amp;sheet=U0&amp;row=4383&amp;col=6&amp;number=4.9&amp;sourceID=14","4.9")</f>
        <v>4.9</v>
      </c>
      <c r="G4383" s="4" t="str">
        <f>HYPERLINK("http://141.218.60.56/~jnz1568/getInfo.php?workbook=14_06.xlsx&amp;sheet=U0&amp;row=4383&amp;col=7&amp;number=0.0166&amp;sourceID=14","0.0166")</f>
        <v>0.0166</v>
      </c>
    </row>
    <row r="4384" spans="1:7">
      <c r="A4384" s="3">
        <v>14</v>
      </c>
      <c r="B4384" s="3">
        <v>6</v>
      </c>
      <c r="C4384" s="3">
        <v>6</v>
      </c>
      <c r="D4384" s="3">
        <v>11</v>
      </c>
      <c r="E4384" s="3">
        <v>1</v>
      </c>
      <c r="F4384" s="4" t="str">
        <f>HYPERLINK("http://141.218.60.56/~jnz1568/getInfo.php?workbook=14_06.xlsx&amp;sheet=U0&amp;row=4384&amp;col=6&amp;number=3&amp;sourceID=14","3")</f>
        <v>3</v>
      </c>
      <c r="G4384" s="4" t="str">
        <f>HYPERLINK("http://141.218.60.56/~jnz1568/getInfo.php?workbook=14_06.xlsx&amp;sheet=U0&amp;row=4384&amp;col=7&amp;number=0.0509&amp;sourceID=14","0.0509")</f>
        <v>0.0509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HYPERLINK("http://141.218.60.56/~jnz1568/getInfo.php?workbook=14_06.xlsx&amp;sheet=U0&amp;row=4385&amp;col=6&amp;number=3.1&amp;sourceID=14","3.1")</f>
        <v>3.1</v>
      </c>
      <c r="G4385" s="4" t="str">
        <f>HYPERLINK("http://141.218.60.56/~jnz1568/getInfo.php?workbook=14_06.xlsx&amp;sheet=U0&amp;row=4385&amp;col=7&amp;number=0.0509&amp;sourceID=14","0.0509")</f>
        <v>0.0509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HYPERLINK("http://141.218.60.56/~jnz1568/getInfo.php?workbook=14_06.xlsx&amp;sheet=U0&amp;row=4386&amp;col=6&amp;number=3.2&amp;sourceID=14","3.2")</f>
        <v>3.2</v>
      </c>
      <c r="G4386" s="4" t="str">
        <f>HYPERLINK("http://141.218.60.56/~jnz1568/getInfo.php?workbook=14_06.xlsx&amp;sheet=U0&amp;row=4386&amp;col=7&amp;number=0.0509&amp;sourceID=14","0.0509")</f>
        <v>0.0509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HYPERLINK("http://141.218.60.56/~jnz1568/getInfo.php?workbook=14_06.xlsx&amp;sheet=U0&amp;row=4387&amp;col=6&amp;number=3.3&amp;sourceID=14","3.3")</f>
        <v>3.3</v>
      </c>
      <c r="G4387" s="4" t="str">
        <f>HYPERLINK("http://141.218.60.56/~jnz1568/getInfo.php?workbook=14_06.xlsx&amp;sheet=U0&amp;row=4387&amp;col=7&amp;number=0.0509&amp;sourceID=14","0.0509")</f>
        <v>0.0509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HYPERLINK("http://141.218.60.56/~jnz1568/getInfo.php?workbook=14_06.xlsx&amp;sheet=U0&amp;row=4388&amp;col=6&amp;number=3.4&amp;sourceID=14","3.4")</f>
        <v>3.4</v>
      </c>
      <c r="G4388" s="4" t="str">
        <f>HYPERLINK("http://141.218.60.56/~jnz1568/getInfo.php?workbook=14_06.xlsx&amp;sheet=U0&amp;row=4388&amp;col=7&amp;number=0.0509&amp;sourceID=14","0.0509")</f>
        <v>0.0509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HYPERLINK("http://141.218.60.56/~jnz1568/getInfo.php?workbook=14_06.xlsx&amp;sheet=U0&amp;row=4389&amp;col=6&amp;number=3.5&amp;sourceID=14","3.5")</f>
        <v>3.5</v>
      </c>
      <c r="G4389" s="4" t="str">
        <f>HYPERLINK("http://141.218.60.56/~jnz1568/getInfo.php?workbook=14_06.xlsx&amp;sheet=U0&amp;row=4389&amp;col=7&amp;number=0.0509&amp;sourceID=14","0.0509")</f>
        <v>0.0509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HYPERLINK("http://141.218.60.56/~jnz1568/getInfo.php?workbook=14_06.xlsx&amp;sheet=U0&amp;row=4390&amp;col=6&amp;number=3.6&amp;sourceID=14","3.6")</f>
        <v>3.6</v>
      </c>
      <c r="G4390" s="4" t="str">
        <f>HYPERLINK("http://141.218.60.56/~jnz1568/getInfo.php?workbook=14_06.xlsx&amp;sheet=U0&amp;row=4390&amp;col=7&amp;number=0.0509&amp;sourceID=14","0.0509")</f>
        <v>0.0509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HYPERLINK("http://141.218.60.56/~jnz1568/getInfo.php?workbook=14_06.xlsx&amp;sheet=U0&amp;row=4391&amp;col=6&amp;number=3.7&amp;sourceID=14","3.7")</f>
        <v>3.7</v>
      </c>
      <c r="G4391" s="4" t="str">
        <f>HYPERLINK("http://141.218.60.56/~jnz1568/getInfo.php?workbook=14_06.xlsx&amp;sheet=U0&amp;row=4391&amp;col=7&amp;number=0.0509&amp;sourceID=14","0.0509")</f>
        <v>0.0509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HYPERLINK("http://141.218.60.56/~jnz1568/getInfo.php?workbook=14_06.xlsx&amp;sheet=U0&amp;row=4392&amp;col=6&amp;number=3.8&amp;sourceID=14","3.8")</f>
        <v>3.8</v>
      </c>
      <c r="G4392" s="4" t="str">
        <f>HYPERLINK("http://141.218.60.56/~jnz1568/getInfo.php?workbook=14_06.xlsx&amp;sheet=U0&amp;row=4392&amp;col=7&amp;number=0.0508&amp;sourceID=14","0.0508")</f>
        <v>0.0508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HYPERLINK("http://141.218.60.56/~jnz1568/getInfo.php?workbook=14_06.xlsx&amp;sheet=U0&amp;row=4393&amp;col=6&amp;number=3.9&amp;sourceID=14","3.9")</f>
        <v>3.9</v>
      </c>
      <c r="G4393" s="4" t="str">
        <f>HYPERLINK("http://141.218.60.56/~jnz1568/getInfo.php?workbook=14_06.xlsx&amp;sheet=U0&amp;row=4393&amp;col=7&amp;number=0.0508&amp;sourceID=14","0.0508")</f>
        <v>0.0508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HYPERLINK("http://141.218.60.56/~jnz1568/getInfo.php?workbook=14_06.xlsx&amp;sheet=U0&amp;row=4394&amp;col=6&amp;number=4&amp;sourceID=14","4")</f>
        <v>4</v>
      </c>
      <c r="G4394" s="4" t="str">
        <f>HYPERLINK("http://141.218.60.56/~jnz1568/getInfo.php?workbook=14_06.xlsx&amp;sheet=U0&amp;row=4394&amp;col=7&amp;number=0.0508&amp;sourceID=14","0.0508")</f>
        <v>0.0508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HYPERLINK("http://141.218.60.56/~jnz1568/getInfo.php?workbook=14_06.xlsx&amp;sheet=U0&amp;row=4395&amp;col=6&amp;number=4.1&amp;sourceID=14","4.1")</f>
        <v>4.1</v>
      </c>
      <c r="G4395" s="4" t="str">
        <f>HYPERLINK("http://141.218.60.56/~jnz1568/getInfo.php?workbook=14_06.xlsx&amp;sheet=U0&amp;row=4395&amp;col=7&amp;number=0.0508&amp;sourceID=14","0.0508")</f>
        <v>0.0508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HYPERLINK("http://141.218.60.56/~jnz1568/getInfo.php?workbook=14_06.xlsx&amp;sheet=U0&amp;row=4396&amp;col=6&amp;number=4.2&amp;sourceID=14","4.2")</f>
        <v>4.2</v>
      </c>
      <c r="G4396" s="4" t="str">
        <f>HYPERLINK("http://141.218.60.56/~jnz1568/getInfo.php?workbook=14_06.xlsx&amp;sheet=U0&amp;row=4396&amp;col=7&amp;number=0.0507&amp;sourceID=14","0.0507")</f>
        <v>0.0507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HYPERLINK("http://141.218.60.56/~jnz1568/getInfo.php?workbook=14_06.xlsx&amp;sheet=U0&amp;row=4397&amp;col=6&amp;number=4.3&amp;sourceID=14","4.3")</f>
        <v>4.3</v>
      </c>
      <c r="G4397" s="4" t="str">
        <f>HYPERLINK("http://141.218.60.56/~jnz1568/getInfo.php?workbook=14_06.xlsx&amp;sheet=U0&amp;row=4397&amp;col=7&amp;number=0.0507&amp;sourceID=14","0.0507")</f>
        <v>0.0507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HYPERLINK("http://141.218.60.56/~jnz1568/getInfo.php?workbook=14_06.xlsx&amp;sheet=U0&amp;row=4398&amp;col=6&amp;number=4.4&amp;sourceID=14","4.4")</f>
        <v>4.4</v>
      </c>
      <c r="G4398" s="4" t="str">
        <f>HYPERLINK("http://141.218.60.56/~jnz1568/getInfo.php?workbook=14_06.xlsx&amp;sheet=U0&amp;row=4398&amp;col=7&amp;number=0.0506&amp;sourceID=14","0.0506")</f>
        <v>0.0506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HYPERLINK("http://141.218.60.56/~jnz1568/getInfo.php?workbook=14_06.xlsx&amp;sheet=U0&amp;row=4399&amp;col=6&amp;number=4.5&amp;sourceID=14","4.5")</f>
        <v>4.5</v>
      </c>
      <c r="G4399" s="4" t="str">
        <f>HYPERLINK("http://141.218.60.56/~jnz1568/getInfo.php?workbook=14_06.xlsx&amp;sheet=U0&amp;row=4399&amp;col=7&amp;number=0.0505&amp;sourceID=14","0.0505")</f>
        <v>0.0505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HYPERLINK("http://141.218.60.56/~jnz1568/getInfo.php?workbook=14_06.xlsx&amp;sheet=U0&amp;row=4400&amp;col=6&amp;number=4.6&amp;sourceID=14","4.6")</f>
        <v>4.6</v>
      </c>
      <c r="G4400" s="4" t="str">
        <f>HYPERLINK("http://141.218.60.56/~jnz1568/getInfo.php?workbook=14_06.xlsx&amp;sheet=U0&amp;row=4400&amp;col=7&amp;number=0.0504&amp;sourceID=14","0.0504")</f>
        <v>0.0504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HYPERLINK("http://141.218.60.56/~jnz1568/getInfo.php?workbook=14_06.xlsx&amp;sheet=U0&amp;row=4401&amp;col=6&amp;number=4.7&amp;sourceID=14","4.7")</f>
        <v>4.7</v>
      </c>
      <c r="G4401" s="4" t="str">
        <f>HYPERLINK("http://141.218.60.56/~jnz1568/getInfo.php?workbook=14_06.xlsx&amp;sheet=U0&amp;row=4401&amp;col=7&amp;number=0.0503&amp;sourceID=14","0.0503")</f>
        <v>0.0503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HYPERLINK("http://141.218.60.56/~jnz1568/getInfo.php?workbook=14_06.xlsx&amp;sheet=U0&amp;row=4402&amp;col=6&amp;number=4.8&amp;sourceID=14","4.8")</f>
        <v>4.8</v>
      </c>
      <c r="G4402" s="4" t="str">
        <f>HYPERLINK("http://141.218.60.56/~jnz1568/getInfo.php?workbook=14_06.xlsx&amp;sheet=U0&amp;row=4402&amp;col=7&amp;number=0.0501&amp;sourceID=14","0.0501")</f>
        <v>0.0501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HYPERLINK("http://141.218.60.56/~jnz1568/getInfo.php?workbook=14_06.xlsx&amp;sheet=U0&amp;row=4403&amp;col=6&amp;number=4.9&amp;sourceID=14","4.9")</f>
        <v>4.9</v>
      </c>
      <c r="G4403" s="4" t="str">
        <f>HYPERLINK("http://141.218.60.56/~jnz1568/getInfo.php?workbook=14_06.xlsx&amp;sheet=U0&amp;row=4403&amp;col=7&amp;number=0.0499&amp;sourceID=14","0.0499")</f>
        <v>0.0499</v>
      </c>
    </row>
    <row r="4404" spans="1:7">
      <c r="A4404" s="3">
        <v>14</v>
      </c>
      <c r="B4404" s="3">
        <v>6</v>
      </c>
      <c r="C4404" s="3">
        <v>6</v>
      </c>
      <c r="D4404" s="3">
        <v>12</v>
      </c>
      <c r="E4404" s="3">
        <v>1</v>
      </c>
      <c r="F4404" s="4" t="str">
        <f>HYPERLINK("http://141.218.60.56/~jnz1568/getInfo.php?workbook=14_06.xlsx&amp;sheet=U0&amp;row=4404&amp;col=6&amp;number=3&amp;sourceID=14","3")</f>
        <v>3</v>
      </c>
      <c r="G4404" s="4" t="str">
        <f>HYPERLINK("http://141.218.60.56/~jnz1568/getInfo.php?workbook=14_06.xlsx&amp;sheet=U0&amp;row=4404&amp;col=7&amp;number=0.0847&amp;sourceID=14","0.0847")</f>
        <v>0.0847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HYPERLINK("http://141.218.60.56/~jnz1568/getInfo.php?workbook=14_06.xlsx&amp;sheet=U0&amp;row=4405&amp;col=6&amp;number=3.1&amp;sourceID=14","3.1")</f>
        <v>3.1</v>
      </c>
      <c r="G4405" s="4" t="str">
        <f>HYPERLINK("http://141.218.60.56/~jnz1568/getInfo.php?workbook=14_06.xlsx&amp;sheet=U0&amp;row=4405&amp;col=7&amp;number=0.0847&amp;sourceID=14","0.0847")</f>
        <v>0.0847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HYPERLINK("http://141.218.60.56/~jnz1568/getInfo.php?workbook=14_06.xlsx&amp;sheet=U0&amp;row=4406&amp;col=6&amp;number=3.2&amp;sourceID=14","3.2")</f>
        <v>3.2</v>
      </c>
      <c r="G4406" s="4" t="str">
        <f>HYPERLINK("http://141.218.60.56/~jnz1568/getInfo.php?workbook=14_06.xlsx&amp;sheet=U0&amp;row=4406&amp;col=7&amp;number=0.0847&amp;sourceID=14","0.0847")</f>
        <v>0.0847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HYPERLINK("http://141.218.60.56/~jnz1568/getInfo.php?workbook=14_06.xlsx&amp;sheet=U0&amp;row=4407&amp;col=6&amp;number=3.3&amp;sourceID=14","3.3")</f>
        <v>3.3</v>
      </c>
      <c r="G4407" s="4" t="str">
        <f>HYPERLINK("http://141.218.60.56/~jnz1568/getInfo.php?workbook=14_06.xlsx&amp;sheet=U0&amp;row=4407&amp;col=7&amp;number=0.0846&amp;sourceID=14","0.0846")</f>
        <v>0.0846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HYPERLINK("http://141.218.60.56/~jnz1568/getInfo.php?workbook=14_06.xlsx&amp;sheet=U0&amp;row=4408&amp;col=6&amp;number=3.4&amp;sourceID=14","3.4")</f>
        <v>3.4</v>
      </c>
      <c r="G4408" s="4" t="str">
        <f>HYPERLINK("http://141.218.60.56/~jnz1568/getInfo.php?workbook=14_06.xlsx&amp;sheet=U0&amp;row=4408&amp;col=7&amp;number=0.0846&amp;sourceID=14","0.0846")</f>
        <v>0.0846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HYPERLINK("http://141.218.60.56/~jnz1568/getInfo.php?workbook=14_06.xlsx&amp;sheet=U0&amp;row=4409&amp;col=6&amp;number=3.5&amp;sourceID=14","3.5")</f>
        <v>3.5</v>
      </c>
      <c r="G4409" s="4" t="str">
        <f>HYPERLINK("http://141.218.60.56/~jnz1568/getInfo.php?workbook=14_06.xlsx&amp;sheet=U0&amp;row=4409&amp;col=7&amp;number=0.0846&amp;sourceID=14","0.0846")</f>
        <v>0.0846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HYPERLINK("http://141.218.60.56/~jnz1568/getInfo.php?workbook=14_06.xlsx&amp;sheet=U0&amp;row=4410&amp;col=6&amp;number=3.6&amp;sourceID=14","3.6")</f>
        <v>3.6</v>
      </c>
      <c r="G4410" s="4" t="str">
        <f>HYPERLINK("http://141.218.60.56/~jnz1568/getInfo.php?workbook=14_06.xlsx&amp;sheet=U0&amp;row=4410&amp;col=7&amp;number=0.0846&amp;sourceID=14","0.0846")</f>
        <v>0.0846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HYPERLINK("http://141.218.60.56/~jnz1568/getInfo.php?workbook=14_06.xlsx&amp;sheet=U0&amp;row=4411&amp;col=6&amp;number=3.7&amp;sourceID=14","3.7")</f>
        <v>3.7</v>
      </c>
      <c r="G4411" s="4" t="str">
        <f>HYPERLINK("http://141.218.60.56/~jnz1568/getInfo.php?workbook=14_06.xlsx&amp;sheet=U0&amp;row=4411&amp;col=7&amp;number=0.0846&amp;sourceID=14","0.0846")</f>
        <v>0.0846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HYPERLINK("http://141.218.60.56/~jnz1568/getInfo.php?workbook=14_06.xlsx&amp;sheet=U0&amp;row=4412&amp;col=6&amp;number=3.8&amp;sourceID=14","3.8")</f>
        <v>3.8</v>
      </c>
      <c r="G4412" s="4" t="str">
        <f>HYPERLINK("http://141.218.60.56/~jnz1568/getInfo.php?workbook=14_06.xlsx&amp;sheet=U0&amp;row=4412&amp;col=7&amp;number=0.0846&amp;sourceID=14","0.0846")</f>
        <v>0.0846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HYPERLINK("http://141.218.60.56/~jnz1568/getInfo.php?workbook=14_06.xlsx&amp;sheet=U0&amp;row=4413&amp;col=6&amp;number=3.9&amp;sourceID=14","3.9")</f>
        <v>3.9</v>
      </c>
      <c r="G4413" s="4" t="str">
        <f>HYPERLINK("http://141.218.60.56/~jnz1568/getInfo.php?workbook=14_06.xlsx&amp;sheet=U0&amp;row=4413&amp;col=7&amp;number=0.0845&amp;sourceID=14","0.0845")</f>
        <v>0.0845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HYPERLINK("http://141.218.60.56/~jnz1568/getInfo.php?workbook=14_06.xlsx&amp;sheet=U0&amp;row=4414&amp;col=6&amp;number=4&amp;sourceID=14","4")</f>
        <v>4</v>
      </c>
      <c r="G4414" s="4" t="str">
        <f>HYPERLINK("http://141.218.60.56/~jnz1568/getInfo.php?workbook=14_06.xlsx&amp;sheet=U0&amp;row=4414&amp;col=7&amp;number=0.0845&amp;sourceID=14","0.0845")</f>
        <v>0.0845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HYPERLINK("http://141.218.60.56/~jnz1568/getInfo.php?workbook=14_06.xlsx&amp;sheet=U0&amp;row=4415&amp;col=6&amp;number=4.1&amp;sourceID=14","4.1")</f>
        <v>4.1</v>
      </c>
      <c r="G4415" s="4" t="str">
        <f>HYPERLINK("http://141.218.60.56/~jnz1568/getInfo.php?workbook=14_06.xlsx&amp;sheet=U0&amp;row=4415&amp;col=7&amp;number=0.0844&amp;sourceID=14","0.0844")</f>
        <v>0.0844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HYPERLINK("http://141.218.60.56/~jnz1568/getInfo.php?workbook=14_06.xlsx&amp;sheet=U0&amp;row=4416&amp;col=6&amp;number=4.2&amp;sourceID=14","4.2")</f>
        <v>4.2</v>
      </c>
      <c r="G4416" s="4" t="str">
        <f>HYPERLINK("http://141.218.60.56/~jnz1568/getInfo.php?workbook=14_06.xlsx&amp;sheet=U0&amp;row=4416&amp;col=7&amp;number=0.0844&amp;sourceID=14","0.0844")</f>
        <v>0.0844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HYPERLINK("http://141.218.60.56/~jnz1568/getInfo.php?workbook=14_06.xlsx&amp;sheet=U0&amp;row=4417&amp;col=6&amp;number=4.3&amp;sourceID=14","4.3")</f>
        <v>4.3</v>
      </c>
      <c r="G4417" s="4" t="str">
        <f>HYPERLINK("http://141.218.60.56/~jnz1568/getInfo.php?workbook=14_06.xlsx&amp;sheet=U0&amp;row=4417&amp;col=7&amp;number=0.0843&amp;sourceID=14","0.0843")</f>
        <v>0.0843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HYPERLINK("http://141.218.60.56/~jnz1568/getInfo.php?workbook=14_06.xlsx&amp;sheet=U0&amp;row=4418&amp;col=6&amp;number=4.4&amp;sourceID=14","4.4")</f>
        <v>4.4</v>
      </c>
      <c r="G4418" s="4" t="str">
        <f>HYPERLINK("http://141.218.60.56/~jnz1568/getInfo.php?workbook=14_06.xlsx&amp;sheet=U0&amp;row=4418&amp;col=7&amp;number=0.0842&amp;sourceID=14","0.0842")</f>
        <v>0.0842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HYPERLINK("http://141.218.60.56/~jnz1568/getInfo.php?workbook=14_06.xlsx&amp;sheet=U0&amp;row=4419&amp;col=6&amp;number=4.5&amp;sourceID=14","4.5")</f>
        <v>4.5</v>
      </c>
      <c r="G4419" s="4" t="str">
        <f>HYPERLINK("http://141.218.60.56/~jnz1568/getInfo.php?workbook=14_06.xlsx&amp;sheet=U0&amp;row=4419&amp;col=7&amp;number=0.084&amp;sourceID=14","0.084")</f>
        <v>0.084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HYPERLINK("http://141.218.60.56/~jnz1568/getInfo.php?workbook=14_06.xlsx&amp;sheet=U0&amp;row=4420&amp;col=6&amp;number=4.6&amp;sourceID=14","4.6")</f>
        <v>4.6</v>
      </c>
      <c r="G4420" s="4" t="str">
        <f>HYPERLINK("http://141.218.60.56/~jnz1568/getInfo.php?workbook=14_06.xlsx&amp;sheet=U0&amp;row=4420&amp;col=7&amp;number=0.0839&amp;sourceID=14","0.0839")</f>
        <v>0.0839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HYPERLINK("http://141.218.60.56/~jnz1568/getInfo.php?workbook=14_06.xlsx&amp;sheet=U0&amp;row=4421&amp;col=6&amp;number=4.7&amp;sourceID=14","4.7")</f>
        <v>4.7</v>
      </c>
      <c r="G4421" s="4" t="str">
        <f>HYPERLINK("http://141.218.60.56/~jnz1568/getInfo.php?workbook=14_06.xlsx&amp;sheet=U0&amp;row=4421&amp;col=7&amp;number=0.0837&amp;sourceID=14","0.0837")</f>
        <v>0.0837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HYPERLINK("http://141.218.60.56/~jnz1568/getInfo.php?workbook=14_06.xlsx&amp;sheet=U0&amp;row=4422&amp;col=6&amp;number=4.8&amp;sourceID=14","4.8")</f>
        <v>4.8</v>
      </c>
      <c r="G4422" s="4" t="str">
        <f>HYPERLINK("http://141.218.60.56/~jnz1568/getInfo.php?workbook=14_06.xlsx&amp;sheet=U0&amp;row=4422&amp;col=7&amp;number=0.0834&amp;sourceID=14","0.0834")</f>
        <v>0.0834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HYPERLINK("http://141.218.60.56/~jnz1568/getInfo.php?workbook=14_06.xlsx&amp;sheet=U0&amp;row=4423&amp;col=6&amp;number=4.9&amp;sourceID=14","4.9")</f>
        <v>4.9</v>
      </c>
      <c r="G4423" s="4" t="str">
        <f>HYPERLINK("http://141.218.60.56/~jnz1568/getInfo.php?workbook=14_06.xlsx&amp;sheet=U0&amp;row=4423&amp;col=7&amp;number=0.0831&amp;sourceID=14","0.0831")</f>
        <v>0.0831</v>
      </c>
    </row>
    <row r="4424" spans="1:7">
      <c r="A4424" s="3">
        <v>14</v>
      </c>
      <c r="B4424" s="3">
        <v>6</v>
      </c>
      <c r="C4424" s="3">
        <v>6</v>
      </c>
      <c r="D4424" s="3">
        <v>13</v>
      </c>
      <c r="E4424" s="3">
        <v>1</v>
      </c>
      <c r="F4424" s="4" t="str">
        <f>HYPERLINK("http://141.218.60.56/~jnz1568/getInfo.php?workbook=14_06.xlsx&amp;sheet=U0&amp;row=4424&amp;col=6&amp;number=3&amp;sourceID=14","3")</f>
        <v>3</v>
      </c>
      <c r="G4424" s="4" t="str">
        <f>HYPERLINK("http://141.218.60.56/~jnz1568/getInfo.php?workbook=14_06.xlsx&amp;sheet=U0&amp;row=4424&amp;col=7&amp;number=1.11e-05&amp;sourceID=14","1.11e-05")</f>
        <v>1.11e-05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HYPERLINK("http://141.218.60.56/~jnz1568/getInfo.php?workbook=14_06.xlsx&amp;sheet=U0&amp;row=4425&amp;col=6&amp;number=3.1&amp;sourceID=14","3.1")</f>
        <v>3.1</v>
      </c>
      <c r="G4425" s="4" t="str">
        <f>HYPERLINK("http://141.218.60.56/~jnz1568/getInfo.php?workbook=14_06.xlsx&amp;sheet=U0&amp;row=4425&amp;col=7&amp;number=1.11e-05&amp;sourceID=14","1.11e-05")</f>
        <v>1.11e-05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HYPERLINK("http://141.218.60.56/~jnz1568/getInfo.php?workbook=14_06.xlsx&amp;sheet=U0&amp;row=4426&amp;col=6&amp;number=3.2&amp;sourceID=14","3.2")</f>
        <v>3.2</v>
      </c>
      <c r="G4426" s="4" t="str">
        <f>HYPERLINK("http://141.218.60.56/~jnz1568/getInfo.php?workbook=14_06.xlsx&amp;sheet=U0&amp;row=4426&amp;col=7&amp;number=1.11e-05&amp;sourceID=14","1.11e-05")</f>
        <v>1.11e-05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HYPERLINK("http://141.218.60.56/~jnz1568/getInfo.php?workbook=14_06.xlsx&amp;sheet=U0&amp;row=4427&amp;col=6&amp;number=3.3&amp;sourceID=14","3.3")</f>
        <v>3.3</v>
      </c>
      <c r="G4427" s="4" t="str">
        <f>HYPERLINK("http://141.218.60.56/~jnz1568/getInfo.php?workbook=14_06.xlsx&amp;sheet=U0&amp;row=4427&amp;col=7&amp;number=1.11e-05&amp;sourceID=14","1.11e-05")</f>
        <v>1.11e-05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HYPERLINK("http://141.218.60.56/~jnz1568/getInfo.php?workbook=14_06.xlsx&amp;sheet=U0&amp;row=4428&amp;col=6&amp;number=3.4&amp;sourceID=14","3.4")</f>
        <v>3.4</v>
      </c>
      <c r="G4428" s="4" t="str">
        <f>HYPERLINK("http://141.218.60.56/~jnz1568/getInfo.php?workbook=14_06.xlsx&amp;sheet=U0&amp;row=4428&amp;col=7&amp;number=1.11e-05&amp;sourceID=14","1.11e-05")</f>
        <v>1.11e-05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HYPERLINK("http://141.218.60.56/~jnz1568/getInfo.php?workbook=14_06.xlsx&amp;sheet=U0&amp;row=4429&amp;col=6&amp;number=3.5&amp;sourceID=14","3.5")</f>
        <v>3.5</v>
      </c>
      <c r="G4429" s="4" t="str">
        <f>HYPERLINK("http://141.218.60.56/~jnz1568/getInfo.php?workbook=14_06.xlsx&amp;sheet=U0&amp;row=4429&amp;col=7&amp;number=1.11e-05&amp;sourceID=14","1.11e-05")</f>
        <v>1.11e-05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HYPERLINK("http://141.218.60.56/~jnz1568/getInfo.php?workbook=14_06.xlsx&amp;sheet=U0&amp;row=4430&amp;col=6&amp;number=3.6&amp;sourceID=14","3.6")</f>
        <v>3.6</v>
      </c>
      <c r="G4430" s="4" t="str">
        <f>HYPERLINK("http://141.218.60.56/~jnz1568/getInfo.php?workbook=14_06.xlsx&amp;sheet=U0&amp;row=4430&amp;col=7&amp;number=1.11e-05&amp;sourceID=14","1.11e-05")</f>
        <v>1.11e-05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HYPERLINK("http://141.218.60.56/~jnz1568/getInfo.php?workbook=14_06.xlsx&amp;sheet=U0&amp;row=4431&amp;col=6&amp;number=3.7&amp;sourceID=14","3.7")</f>
        <v>3.7</v>
      </c>
      <c r="G4431" s="4" t="str">
        <f>HYPERLINK("http://141.218.60.56/~jnz1568/getInfo.php?workbook=14_06.xlsx&amp;sheet=U0&amp;row=4431&amp;col=7&amp;number=1.11e-05&amp;sourceID=14","1.11e-05")</f>
        <v>1.11e-05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HYPERLINK("http://141.218.60.56/~jnz1568/getInfo.php?workbook=14_06.xlsx&amp;sheet=U0&amp;row=4432&amp;col=6&amp;number=3.8&amp;sourceID=14","3.8")</f>
        <v>3.8</v>
      </c>
      <c r="G4432" s="4" t="str">
        <f>HYPERLINK("http://141.218.60.56/~jnz1568/getInfo.php?workbook=14_06.xlsx&amp;sheet=U0&amp;row=4432&amp;col=7&amp;number=1.11e-05&amp;sourceID=14","1.11e-05")</f>
        <v>1.11e-05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HYPERLINK("http://141.218.60.56/~jnz1568/getInfo.php?workbook=14_06.xlsx&amp;sheet=U0&amp;row=4433&amp;col=6&amp;number=3.9&amp;sourceID=14","3.9")</f>
        <v>3.9</v>
      </c>
      <c r="G4433" s="4" t="str">
        <f>HYPERLINK("http://141.218.60.56/~jnz1568/getInfo.php?workbook=14_06.xlsx&amp;sheet=U0&amp;row=4433&amp;col=7&amp;number=1.11e-05&amp;sourceID=14","1.11e-05")</f>
        <v>1.11e-05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HYPERLINK("http://141.218.60.56/~jnz1568/getInfo.php?workbook=14_06.xlsx&amp;sheet=U0&amp;row=4434&amp;col=6&amp;number=4&amp;sourceID=14","4")</f>
        <v>4</v>
      </c>
      <c r="G4434" s="4" t="str">
        <f>HYPERLINK("http://141.218.60.56/~jnz1568/getInfo.php?workbook=14_06.xlsx&amp;sheet=U0&amp;row=4434&amp;col=7&amp;number=1.11e-05&amp;sourceID=14","1.11e-05")</f>
        <v>1.11e-05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HYPERLINK("http://141.218.60.56/~jnz1568/getInfo.php?workbook=14_06.xlsx&amp;sheet=U0&amp;row=4435&amp;col=6&amp;number=4.1&amp;sourceID=14","4.1")</f>
        <v>4.1</v>
      </c>
      <c r="G4435" s="4" t="str">
        <f>HYPERLINK("http://141.218.60.56/~jnz1568/getInfo.php?workbook=14_06.xlsx&amp;sheet=U0&amp;row=4435&amp;col=7&amp;number=1.11e-05&amp;sourceID=14","1.11e-05")</f>
        <v>1.11e-05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HYPERLINK("http://141.218.60.56/~jnz1568/getInfo.php?workbook=14_06.xlsx&amp;sheet=U0&amp;row=4436&amp;col=6&amp;number=4.2&amp;sourceID=14","4.2")</f>
        <v>4.2</v>
      </c>
      <c r="G4436" s="4" t="str">
        <f>HYPERLINK("http://141.218.60.56/~jnz1568/getInfo.php?workbook=14_06.xlsx&amp;sheet=U0&amp;row=4436&amp;col=7&amp;number=1.11e-05&amp;sourceID=14","1.11e-05")</f>
        <v>1.11e-05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HYPERLINK("http://141.218.60.56/~jnz1568/getInfo.php?workbook=14_06.xlsx&amp;sheet=U0&amp;row=4437&amp;col=6&amp;number=4.3&amp;sourceID=14","4.3")</f>
        <v>4.3</v>
      </c>
      <c r="G4437" s="4" t="str">
        <f>HYPERLINK("http://141.218.60.56/~jnz1568/getInfo.php?workbook=14_06.xlsx&amp;sheet=U0&amp;row=4437&amp;col=7&amp;number=1.11e-05&amp;sourceID=14","1.11e-05")</f>
        <v>1.11e-05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HYPERLINK("http://141.218.60.56/~jnz1568/getInfo.php?workbook=14_06.xlsx&amp;sheet=U0&amp;row=4438&amp;col=6&amp;number=4.4&amp;sourceID=14","4.4")</f>
        <v>4.4</v>
      </c>
      <c r="G4438" s="4" t="str">
        <f>HYPERLINK("http://141.218.60.56/~jnz1568/getInfo.php?workbook=14_06.xlsx&amp;sheet=U0&amp;row=4438&amp;col=7&amp;number=1.11e-05&amp;sourceID=14","1.11e-05")</f>
        <v>1.11e-05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HYPERLINK("http://141.218.60.56/~jnz1568/getInfo.php?workbook=14_06.xlsx&amp;sheet=U0&amp;row=4439&amp;col=6&amp;number=4.5&amp;sourceID=14","4.5")</f>
        <v>4.5</v>
      </c>
      <c r="G4439" s="4" t="str">
        <f>HYPERLINK("http://141.218.60.56/~jnz1568/getInfo.php?workbook=14_06.xlsx&amp;sheet=U0&amp;row=4439&amp;col=7&amp;number=1.11e-05&amp;sourceID=14","1.11e-05")</f>
        <v>1.11e-05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HYPERLINK("http://141.218.60.56/~jnz1568/getInfo.php?workbook=14_06.xlsx&amp;sheet=U0&amp;row=4440&amp;col=6&amp;number=4.6&amp;sourceID=14","4.6")</f>
        <v>4.6</v>
      </c>
      <c r="G4440" s="4" t="str">
        <f>HYPERLINK("http://141.218.60.56/~jnz1568/getInfo.php?workbook=14_06.xlsx&amp;sheet=U0&amp;row=4440&amp;col=7&amp;number=1.11e-05&amp;sourceID=14","1.11e-05")</f>
        <v>1.11e-05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HYPERLINK("http://141.218.60.56/~jnz1568/getInfo.php?workbook=14_06.xlsx&amp;sheet=U0&amp;row=4441&amp;col=6&amp;number=4.7&amp;sourceID=14","4.7")</f>
        <v>4.7</v>
      </c>
      <c r="G4441" s="4" t="str">
        <f>HYPERLINK("http://141.218.60.56/~jnz1568/getInfo.php?workbook=14_06.xlsx&amp;sheet=U0&amp;row=4441&amp;col=7&amp;number=1.1e-05&amp;sourceID=14","1.1e-05")</f>
        <v>1.1e-05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HYPERLINK("http://141.218.60.56/~jnz1568/getInfo.php?workbook=14_06.xlsx&amp;sheet=U0&amp;row=4442&amp;col=6&amp;number=4.8&amp;sourceID=14","4.8")</f>
        <v>4.8</v>
      </c>
      <c r="G4442" s="4" t="str">
        <f>HYPERLINK("http://141.218.60.56/~jnz1568/getInfo.php?workbook=14_06.xlsx&amp;sheet=U0&amp;row=4442&amp;col=7&amp;number=1.1e-05&amp;sourceID=14","1.1e-05")</f>
        <v>1.1e-05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HYPERLINK("http://141.218.60.56/~jnz1568/getInfo.php?workbook=14_06.xlsx&amp;sheet=U0&amp;row=4443&amp;col=6&amp;number=4.9&amp;sourceID=14","4.9")</f>
        <v>4.9</v>
      </c>
      <c r="G4443" s="4" t="str">
        <f>HYPERLINK("http://141.218.60.56/~jnz1568/getInfo.php?workbook=14_06.xlsx&amp;sheet=U0&amp;row=4443&amp;col=7&amp;number=1.1e-05&amp;sourceID=14","1.1e-05")</f>
        <v>1.1e-05</v>
      </c>
    </row>
    <row r="4444" spans="1:7">
      <c r="A4444" s="3">
        <v>14</v>
      </c>
      <c r="B4444" s="3">
        <v>6</v>
      </c>
      <c r="C4444" s="3">
        <v>6</v>
      </c>
      <c r="D4444" s="3">
        <v>14</v>
      </c>
      <c r="E4444" s="3">
        <v>1</v>
      </c>
      <c r="F4444" s="4" t="str">
        <f>HYPERLINK("http://141.218.60.56/~jnz1568/getInfo.php?workbook=14_06.xlsx&amp;sheet=U0&amp;row=4444&amp;col=6&amp;number=3&amp;sourceID=14","3")</f>
        <v>3</v>
      </c>
      <c r="G4444" s="4" t="str">
        <f>HYPERLINK("http://141.218.60.56/~jnz1568/getInfo.php?workbook=14_06.xlsx&amp;sheet=U0&amp;row=4444&amp;col=7&amp;number=0.00633&amp;sourceID=14","0.00633")</f>
        <v>0.00633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HYPERLINK("http://141.218.60.56/~jnz1568/getInfo.php?workbook=14_06.xlsx&amp;sheet=U0&amp;row=4445&amp;col=6&amp;number=3.1&amp;sourceID=14","3.1")</f>
        <v>3.1</v>
      </c>
      <c r="G4445" s="4" t="str">
        <f>HYPERLINK("http://141.218.60.56/~jnz1568/getInfo.php?workbook=14_06.xlsx&amp;sheet=U0&amp;row=4445&amp;col=7&amp;number=0.00633&amp;sourceID=14","0.00633")</f>
        <v>0.00633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HYPERLINK("http://141.218.60.56/~jnz1568/getInfo.php?workbook=14_06.xlsx&amp;sheet=U0&amp;row=4446&amp;col=6&amp;number=3.2&amp;sourceID=14","3.2")</f>
        <v>3.2</v>
      </c>
      <c r="G4446" s="4" t="str">
        <f>HYPERLINK("http://141.218.60.56/~jnz1568/getInfo.php?workbook=14_06.xlsx&amp;sheet=U0&amp;row=4446&amp;col=7&amp;number=0.00633&amp;sourceID=14","0.00633")</f>
        <v>0.00633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HYPERLINK("http://141.218.60.56/~jnz1568/getInfo.php?workbook=14_06.xlsx&amp;sheet=U0&amp;row=4447&amp;col=6&amp;number=3.3&amp;sourceID=14","3.3")</f>
        <v>3.3</v>
      </c>
      <c r="G4447" s="4" t="str">
        <f>HYPERLINK("http://141.218.60.56/~jnz1568/getInfo.php?workbook=14_06.xlsx&amp;sheet=U0&amp;row=4447&amp;col=7&amp;number=0.00633&amp;sourceID=14","0.00633")</f>
        <v>0.00633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HYPERLINK("http://141.218.60.56/~jnz1568/getInfo.php?workbook=14_06.xlsx&amp;sheet=U0&amp;row=4448&amp;col=6&amp;number=3.4&amp;sourceID=14","3.4")</f>
        <v>3.4</v>
      </c>
      <c r="G4448" s="4" t="str">
        <f>HYPERLINK("http://141.218.60.56/~jnz1568/getInfo.php?workbook=14_06.xlsx&amp;sheet=U0&amp;row=4448&amp;col=7&amp;number=0.00632&amp;sourceID=14","0.00632")</f>
        <v>0.00632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HYPERLINK("http://141.218.60.56/~jnz1568/getInfo.php?workbook=14_06.xlsx&amp;sheet=U0&amp;row=4449&amp;col=6&amp;number=3.5&amp;sourceID=14","3.5")</f>
        <v>3.5</v>
      </c>
      <c r="G4449" s="4" t="str">
        <f>HYPERLINK("http://141.218.60.56/~jnz1568/getInfo.php?workbook=14_06.xlsx&amp;sheet=U0&amp;row=4449&amp;col=7&amp;number=0.00632&amp;sourceID=14","0.00632")</f>
        <v>0.00632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HYPERLINK("http://141.218.60.56/~jnz1568/getInfo.php?workbook=14_06.xlsx&amp;sheet=U0&amp;row=4450&amp;col=6&amp;number=3.6&amp;sourceID=14","3.6")</f>
        <v>3.6</v>
      </c>
      <c r="G4450" s="4" t="str">
        <f>HYPERLINK("http://141.218.60.56/~jnz1568/getInfo.php?workbook=14_06.xlsx&amp;sheet=U0&amp;row=4450&amp;col=7&amp;number=0.00632&amp;sourceID=14","0.00632")</f>
        <v>0.00632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HYPERLINK("http://141.218.60.56/~jnz1568/getInfo.php?workbook=14_06.xlsx&amp;sheet=U0&amp;row=4451&amp;col=6&amp;number=3.7&amp;sourceID=14","3.7")</f>
        <v>3.7</v>
      </c>
      <c r="G4451" s="4" t="str">
        <f>HYPERLINK("http://141.218.60.56/~jnz1568/getInfo.php?workbook=14_06.xlsx&amp;sheet=U0&amp;row=4451&amp;col=7&amp;number=0.00632&amp;sourceID=14","0.00632")</f>
        <v>0.00632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HYPERLINK("http://141.218.60.56/~jnz1568/getInfo.php?workbook=14_06.xlsx&amp;sheet=U0&amp;row=4452&amp;col=6&amp;number=3.8&amp;sourceID=14","3.8")</f>
        <v>3.8</v>
      </c>
      <c r="G4452" s="4" t="str">
        <f>HYPERLINK("http://141.218.60.56/~jnz1568/getInfo.php?workbook=14_06.xlsx&amp;sheet=U0&amp;row=4452&amp;col=7&amp;number=0.00632&amp;sourceID=14","0.00632")</f>
        <v>0.00632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HYPERLINK("http://141.218.60.56/~jnz1568/getInfo.php?workbook=14_06.xlsx&amp;sheet=U0&amp;row=4453&amp;col=6&amp;number=3.9&amp;sourceID=14","3.9")</f>
        <v>3.9</v>
      </c>
      <c r="G4453" s="4" t="str">
        <f>HYPERLINK("http://141.218.60.56/~jnz1568/getInfo.php?workbook=14_06.xlsx&amp;sheet=U0&amp;row=4453&amp;col=7&amp;number=0.00632&amp;sourceID=14","0.00632")</f>
        <v>0.00632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HYPERLINK("http://141.218.60.56/~jnz1568/getInfo.php?workbook=14_06.xlsx&amp;sheet=U0&amp;row=4454&amp;col=6&amp;number=4&amp;sourceID=14","4")</f>
        <v>4</v>
      </c>
      <c r="G4454" s="4" t="str">
        <f>HYPERLINK("http://141.218.60.56/~jnz1568/getInfo.php?workbook=14_06.xlsx&amp;sheet=U0&amp;row=4454&amp;col=7&amp;number=0.00631&amp;sourceID=14","0.00631")</f>
        <v>0.00631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HYPERLINK("http://141.218.60.56/~jnz1568/getInfo.php?workbook=14_06.xlsx&amp;sheet=U0&amp;row=4455&amp;col=6&amp;number=4.1&amp;sourceID=14","4.1")</f>
        <v>4.1</v>
      </c>
      <c r="G4455" s="4" t="str">
        <f>HYPERLINK("http://141.218.60.56/~jnz1568/getInfo.php?workbook=14_06.xlsx&amp;sheet=U0&amp;row=4455&amp;col=7&amp;number=0.00631&amp;sourceID=14","0.00631")</f>
        <v>0.00631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HYPERLINK("http://141.218.60.56/~jnz1568/getInfo.php?workbook=14_06.xlsx&amp;sheet=U0&amp;row=4456&amp;col=6&amp;number=4.2&amp;sourceID=14","4.2")</f>
        <v>4.2</v>
      </c>
      <c r="G4456" s="4" t="str">
        <f>HYPERLINK("http://141.218.60.56/~jnz1568/getInfo.php?workbook=14_06.xlsx&amp;sheet=U0&amp;row=4456&amp;col=7&amp;number=0.0063&amp;sourceID=14","0.0063")</f>
        <v>0.0063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HYPERLINK("http://141.218.60.56/~jnz1568/getInfo.php?workbook=14_06.xlsx&amp;sheet=U0&amp;row=4457&amp;col=6&amp;number=4.3&amp;sourceID=14","4.3")</f>
        <v>4.3</v>
      </c>
      <c r="G4457" s="4" t="str">
        <f>HYPERLINK("http://141.218.60.56/~jnz1568/getInfo.php?workbook=14_06.xlsx&amp;sheet=U0&amp;row=4457&amp;col=7&amp;number=0.0063&amp;sourceID=14","0.0063")</f>
        <v>0.0063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HYPERLINK("http://141.218.60.56/~jnz1568/getInfo.php?workbook=14_06.xlsx&amp;sheet=U0&amp;row=4458&amp;col=6&amp;number=4.4&amp;sourceID=14","4.4")</f>
        <v>4.4</v>
      </c>
      <c r="G4458" s="4" t="str">
        <f>HYPERLINK("http://141.218.60.56/~jnz1568/getInfo.php?workbook=14_06.xlsx&amp;sheet=U0&amp;row=4458&amp;col=7&amp;number=0.00629&amp;sourceID=14","0.00629")</f>
        <v>0.00629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HYPERLINK("http://141.218.60.56/~jnz1568/getInfo.php?workbook=14_06.xlsx&amp;sheet=U0&amp;row=4459&amp;col=6&amp;number=4.5&amp;sourceID=14","4.5")</f>
        <v>4.5</v>
      </c>
      <c r="G4459" s="4" t="str">
        <f>HYPERLINK("http://141.218.60.56/~jnz1568/getInfo.php?workbook=14_06.xlsx&amp;sheet=U0&amp;row=4459&amp;col=7&amp;number=0.00628&amp;sourceID=14","0.00628")</f>
        <v>0.00628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HYPERLINK("http://141.218.60.56/~jnz1568/getInfo.php?workbook=14_06.xlsx&amp;sheet=U0&amp;row=4460&amp;col=6&amp;number=4.6&amp;sourceID=14","4.6")</f>
        <v>4.6</v>
      </c>
      <c r="G4460" s="4" t="str">
        <f>HYPERLINK("http://141.218.60.56/~jnz1568/getInfo.php?workbook=14_06.xlsx&amp;sheet=U0&amp;row=4460&amp;col=7&amp;number=0.00627&amp;sourceID=14","0.00627")</f>
        <v>0.00627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HYPERLINK("http://141.218.60.56/~jnz1568/getInfo.php?workbook=14_06.xlsx&amp;sheet=U0&amp;row=4461&amp;col=6&amp;number=4.7&amp;sourceID=14","4.7")</f>
        <v>4.7</v>
      </c>
      <c r="G4461" s="4" t="str">
        <f>HYPERLINK("http://141.218.60.56/~jnz1568/getInfo.php?workbook=14_06.xlsx&amp;sheet=U0&amp;row=4461&amp;col=7&amp;number=0.00626&amp;sourceID=14","0.00626")</f>
        <v>0.00626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HYPERLINK("http://141.218.60.56/~jnz1568/getInfo.php?workbook=14_06.xlsx&amp;sheet=U0&amp;row=4462&amp;col=6&amp;number=4.8&amp;sourceID=14","4.8")</f>
        <v>4.8</v>
      </c>
      <c r="G4462" s="4" t="str">
        <f>HYPERLINK("http://141.218.60.56/~jnz1568/getInfo.php?workbook=14_06.xlsx&amp;sheet=U0&amp;row=4462&amp;col=7&amp;number=0.00624&amp;sourceID=14","0.00624")</f>
        <v>0.00624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HYPERLINK("http://141.218.60.56/~jnz1568/getInfo.php?workbook=14_06.xlsx&amp;sheet=U0&amp;row=4463&amp;col=6&amp;number=4.9&amp;sourceID=14","4.9")</f>
        <v>4.9</v>
      </c>
      <c r="G4463" s="4" t="str">
        <f>HYPERLINK("http://141.218.60.56/~jnz1568/getInfo.php?workbook=14_06.xlsx&amp;sheet=U0&amp;row=4463&amp;col=7&amp;number=0.00621&amp;sourceID=14","0.00621")</f>
        <v>0.00621</v>
      </c>
    </row>
    <row r="4464" spans="1:7">
      <c r="A4464" s="3">
        <v>14</v>
      </c>
      <c r="B4464" s="3">
        <v>6</v>
      </c>
      <c r="C4464" s="3">
        <v>6</v>
      </c>
      <c r="D4464" s="3">
        <v>15</v>
      </c>
      <c r="E4464" s="3">
        <v>1</v>
      </c>
      <c r="F4464" s="4" t="str">
        <f>HYPERLINK("http://141.218.60.56/~jnz1568/getInfo.php?workbook=14_06.xlsx&amp;sheet=U0&amp;row=4464&amp;col=6&amp;number=3&amp;sourceID=14","3")</f>
        <v>3</v>
      </c>
      <c r="G4464" s="4" t="str">
        <f>HYPERLINK("http://141.218.60.56/~jnz1568/getInfo.php?workbook=14_06.xlsx&amp;sheet=U0&amp;row=4464&amp;col=7&amp;number=2.48e-05&amp;sourceID=14","2.48e-05")</f>
        <v>2.48e-05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HYPERLINK("http://141.218.60.56/~jnz1568/getInfo.php?workbook=14_06.xlsx&amp;sheet=U0&amp;row=4465&amp;col=6&amp;number=3.1&amp;sourceID=14","3.1")</f>
        <v>3.1</v>
      </c>
      <c r="G4465" s="4" t="str">
        <f>HYPERLINK("http://141.218.60.56/~jnz1568/getInfo.php?workbook=14_06.xlsx&amp;sheet=U0&amp;row=4465&amp;col=7&amp;number=2.48e-05&amp;sourceID=14","2.48e-05")</f>
        <v>2.48e-05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HYPERLINK("http://141.218.60.56/~jnz1568/getInfo.php?workbook=14_06.xlsx&amp;sheet=U0&amp;row=4466&amp;col=6&amp;number=3.2&amp;sourceID=14","3.2")</f>
        <v>3.2</v>
      </c>
      <c r="G4466" s="4" t="str">
        <f>HYPERLINK("http://141.218.60.56/~jnz1568/getInfo.php?workbook=14_06.xlsx&amp;sheet=U0&amp;row=4466&amp;col=7&amp;number=2.48e-05&amp;sourceID=14","2.48e-05")</f>
        <v>2.48e-05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HYPERLINK("http://141.218.60.56/~jnz1568/getInfo.php?workbook=14_06.xlsx&amp;sheet=U0&amp;row=4467&amp;col=6&amp;number=3.3&amp;sourceID=14","3.3")</f>
        <v>3.3</v>
      </c>
      <c r="G4467" s="4" t="str">
        <f>HYPERLINK("http://141.218.60.56/~jnz1568/getInfo.php?workbook=14_06.xlsx&amp;sheet=U0&amp;row=4467&amp;col=7&amp;number=2.47e-05&amp;sourceID=14","2.47e-05")</f>
        <v>2.47e-05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HYPERLINK("http://141.218.60.56/~jnz1568/getInfo.php?workbook=14_06.xlsx&amp;sheet=U0&amp;row=4468&amp;col=6&amp;number=3.4&amp;sourceID=14","3.4")</f>
        <v>3.4</v>
      </c>
      <c r="G4468" s="4" t="str">
        <f>HYPERLINK("http://141.218.60.56/~jnz1568/getInfo.php?workbook=14_06.xlsx&amp;sheet=U0&amp;row=4468&amp;col=7&amp;number=2.47e-05&amp;sourceID=14","2.47e-05")</f>
        <v>2.47e-05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HYPERLINK("http://141.218.60.56/~jnz1568/getInfo.php?workbook=14_06.xlsx&amp;sheet=U0&amp;row=4469&amp;col=6&amp;number=3.5&amp;sourceID=14","3.5")</f>
        <v>3.5</v>
      </c>
      <c r="G4469" s="4" t="str">
        <f>HYPERLINK("http://141.218.60.56/~jnz1568/getInfo.php?workbook=14_06.xlsx&amp;sheet=U0&amp;row=4469&amp;col=7&amp;number=2.47e-05&amp;sourceID=14","2.47e-05")</f>
        <v>2.47e-05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HYPERLINK("http://141.218.60.56/~jnz1568/getInfo.php?workbook=14_06.xlsx&amp;sheet=U0&amp;row=4470&amp;col=6&amp;number=3.6&amp;sourceID=14","3.6")</f>
        <v>3.6</v>
      </c>
      <c r="G4470" s="4" t="str">
        <f>HYPERLINK("http://141.218.60.56/~jnz1568/getInfo.php?workbook=14_06.xlsx&amp;sheet=U0&amp;row=4470&amp;col=7&amp;number=2.47e-05&amp;sourceID=14","2.47e-05")</f>
        <v>2.47e-05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HYPERLINK("http://141.218.60.56/~jnz1568/getInfo.php?workbook=14_06.xlsx&amp;sheet=U0&amp;row=4471&amp;col=6&amp;number=3.7&amp;sourceID=14","3.7")</f>
        <v>3.7</v>
      </c>
      <c r="G4471" s="4" t="str">
        <f>HYPERLINK("http://141.218.60.56/~jnz1568/getInfo.php?workbook=14_06.xlsx&amp;sheet=U0&amp;row=4471&amp;col=7&amp;number=2.47e-05&amp;sourceID=14","2.47e-05")</f>
        <v>2.47e-05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HYPERLINK("http://141.218.60.56/~jnz1568/getInfo.php?workbook=14_06.xlsx&amp;sheet=U0&amp;row=4472&amp;col=6&amp;number=3.8&amp;sourceID=14","3.8")</f>
        <v>3.8</v>
      </c>
      <c r="G4472" s="4" t="str">
        <f>HYPERLINK("http://141.218.60.56/~jnz1568/getInfo.php?workbook=14_06.xlsx&amp;sheet=U0&amp;row=4472&amp;col=7&amp;number=2.47e-05&amp;sourceID=14","2.47e-05")</f>
        <v>2.47e-05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HYPERLINK("http://141.218.60.56/~jnz1568/getInfo.php?workbook=14_06.xlsx&amp;sheet=U0&amp;row=4473&amp;col=6&amp;number=3.9&amp;sourceID=14","3.9")</f>
        <v>3.9</v>
      </c>
      <c r="G4473" s="4" t="str">
        <f>HYPERLINK("http://141.218.60.56/~jnz1568/getInfo.php?workbook=14_06.xlsx&amp;sheet=U0&amp;row=4473&amp;col=7&amp;number=2.47e-05&amp;sourceID=14","2.47e-05")</f>
        <v>2.47e-05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HYPERLINK("http://141.218.60.56/~jnz1568/getInfo.php?workbook=14_06.xlsx&amp;sheet=U0&amp;row=4474&amp;col=6&amp;number=4&amp;sourceID=14","4")</f>
        <v>4</v>
      </c>
      <c r="G4474" s="4" t="str">
        <f>HYPERLINK("http://141.218.60.56/~jnz1568/getInfo.php?workbook=14_06.xlsx&amp;sheet=U0&amp;row=4474&amp;col=7&amp;number=2.47e-05&amp;sourceID=14","2.47e-05")</f>
        <v>2.47e-05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HYPERLINK("http://141.218.60.56/~jnz1568/getInfo.php?workbook=14_06.xlsx&amp;sheet=U0&amp;row=4475&amp;col=6&amp;number=4.1&amp;sourceID=14","4.1")</f>
        <v>4.1</v>
      </c>
      <c r="G4475" s="4" t="str">
        <f>HYPERLINK("http://141.218.60.56/~jnz1568/getInfo.php?workbook=14_06.xlsx&amp;sheet=U0&amp;row=4475&amp;col=7&amp;number=2.47e-05&amp;sourceID=14","2.47e-05")</f>
        <v>2.47e-05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HYPERLINK("http://141.218.60.56/~jnz1568/getInfo.php?workbook=14_06.xlsx&amp;sheet=U0&amp;row=4476&amp;col=6&amp;number=4.2&amp;sourceID=14","4.2")</f>
        <v>4.2</v>
      </c>
      <c r="G4476" s="4" t="str">
        <f>HYPERLINK("http://141.218.60.56/~jnz1568/getInfo.php?workbook=14_06.xlsx&amp;sheet=U0&amp;row=4476&amp;col=7&amp;number=2.47e-05&amp;sourceID=14","2.47e-05")</f>
        <v>2.47e-05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HYPERLINK("http://141.218.60.56/~jnz1568/getInfo.php?workbook=14_06.xlsx&amp;sheet=U0&amp;row=4477&amp;col=6&amp;number=4.3&amp;sourceID=14","4.3")</f>
        <v>4.3</v>
      </c>
      <c r="G4477" s="4" t="str">
        <f>HYPERLINK("http://141.218.60.56/~jnz1568/getInfo.php?workbook=14_06.xlsx&amp;sheet=U0&amp;row=4477&amp;col=7&amp;number=2.46e-05&amp;sourceID=14","2.46e-05")</f>
        <v>2.46e-05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HYPERLINK("http://141.218.60.56/~jnz1568/getInfo.php?workbook=14_06.xlsx&amp;sheet=U0&amp;row=4478&amp;col=6&amp;number=4.4&amp;sourceID=14","4.4")</f>
        <v>4.4</v>
      </c>
      <c r="G4478" s="4" t="str">
        <f>HYPERLINK("http://141.218.60.56/~jnz1568/getInfo.php?workbook=14_06.xlsx&amp;sheet=U0&amp;row=4478&amp;col=7&amp;number=2.46e-05&amp;sourceID=14","2.46e-05")</f>
        <v>2.46e-05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HYPERLINK("http://141.218.60.56/~jnz1568/getInfo.php?workbook=14_06.xlsx&amp;sheet=U0&amp;row=4479&amp;col=6&amp;number=4.5&amp;sourceID=14","4.5")</f>
        <v>4.5</v>
      </c>
      <c r="G4479" s="4" t="str">
        <f>HYPERLINK("http://141.218.60.56/~jnz1568/getInfo.php?workbook=14_06.xlsx&amp;sheet=U0&amp;row=4479&amp;col=7&amp;number=2.46e-05&amp;sourceID=14","2.46e-05")</f>
        <v>2.46e-05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HYPERLINK("http://141.218.60.56/~jnz1568/getInfo.php?workbook=14_06.xlsx&amp;sheet=U0&amp;row=4480&amp;col=6&amp;number=4.6&amp;sourceID=14","4.6")</f>
        <v>4.6</v>
      </c>
      <c r="G4480" s="4" t="str">
        <f>HYPERLINK("http://141.218.60.56/~jnz1568/getInfo.php?workbook=14_06.xlsx&amp;sheet=U0&amp;row=4480&amp;col=7&amp;number=2.45e-05&amp;sourceID=14","2.45e-05")</f>
        <v>2.45e-05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HYPERLINK("http://141.218.60.56/~jnz1568/getInfo.php?workbook=14_06.xlsx&amp;sheet=U0&amp;row=4481&amp;col=6&amp;number=4.7&amp;sourceID=14","4.7")</f>
        <v>4.7</v>
      </c>
      <c r="G4481" s="4" t="str">
        <f>HYPERLINK("http://141.218.60.56/~jnz1568/getInfo.php?workbook=14_06.xlsx&amp;sheet=U0&amp;row=4481&amp;col=7&amp;number=2.45e-05&amp;sourceID=14","2.45e-05")</f>
        <v>2.45e-05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HYPERLINK("http://141.218.60.56/~jnz1568/getInfo.php?workbook=14_06.xlsx&amp;sheet=U0&amp;row=4482&amp;col=6&amp;number=4.8&amp;sourceID=14","4.8")</f>
        <v>4.8</v>
      </c>
      <c r="G4482" s="4" t="str">
        <f>HYPERLINK("http://141.218.60.56/~jnz1568/getInfo.php?workbook=14_06.xlsx&amp;sheet=U0&amp;row=4482&amp;col=7&amp;number=2.44e-05&amp;sourceID=14","2.44e-05")</f>
        <v>2.44e-05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HYPERLINK("http://141.218.60.56/~jnz1568/getInfo.php?workbook=14_06.xlsx&amp;sheet=U0&amp;row=4483&amp;col=6&amp;number=4.9&amp;sourceID=14","4.9")</f>
        <v>4.9</v>
      </c>
      <c r="G4483" s="4" t="str">
        <f>HYPERLINK("http://141.218.60.56/~jnz1568/getInfo.php?workbook=14_06.xlsx&amp;sheet=U0&amp;row=4483&amp;col=7&amp;number=2.43e-05&amp;sourceID=14","2.43e-05")</f>
        <v>2.43e-05</v>
      </c>
    </row>
    <row r="4484" spans="1:7">
      <c r="A4484" s="3">
        <v>14</v>
      </c>
      <c r="B4484" s="3">
        <v>6</v>
      </c>
      <c r="C4484" s="3">
        <v>6</v>
      </c>
      <c r="D4484" s="3">
        <v>16</v>
      </c>
      <c r="E4484" s="3">
        <v>1</v>
      </c>
      <c r="F4484" s="4" t="str">
        <f>HYPERLINK("http://141.218.60.56/~jnz1568/getInfo.php?workbook=14_06.xlsx&amp;sheet=U0&amp;row=4484&amp;col=6&amp;number=3&amp;sourceID=14","3")</f>
        <v>3</v>
      </c>
      <c r="G4484" s="4" t="str">
        <f>HYPERLINK("http://141.218.60.56/~jnz1568/getInfo.php?workbook=14_06.xlsx&amp;sheet=U0&amp;row=4484&amp;col=7&amp;number=0.0526&amp;sourceID=14","0.0526")</f>
        <v>0.0526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HYPERLINK("http://141.218.60.56/~jnz1568/getInfo.php?workbook=14_06.xlsx&amp;sheet=U0&amp;row=4485&amp;col=6&amp;number=3.1&amp;sourceID=14","3.1")</f>
        <v>3.1</v>
      </c>
      <c r="G4485" s="4" t="str">
        <f>HYPERLINK("http://141.218.60.56/~jnz1568/getInfo.php?workbook=14_06.xlsx&amp;sheet=U0&amp;row=4485&amp;col=7&amp;number=0.0526&amp;sourceID=14","0.0526")</f>
        <v>0.0526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HYPERLINK("http://141.218.60.56/~jnz1568/getInfo.php?workbook=14_06.xlsx&amp;sheet=U0&amp;row=4486&amp;col=6&amp;number=3.2&amp;sourceID=14","3.2")</f>
        <v>3.2</v>
      </c>
      <c r="G4486" s="4" t="str">
        <f>HYPERLINK("http://141.218.60.56/~jnz1568/getInfo.php?workbook=14_06.xlsx&amp;sheet=U0&amp;row=4486&amp;col=7&amp;number=0.0526&amp;sourceID=14","0.0526")</f>
        <v>0.0526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HYPERLINK("http://141.218.60.56/~jnz1568/getInfo.php?workbook=14_06.xlsx&amp;sheet=U0&amp;row=4487&amp;col=6&amp;number=3.3&amp;sourceID=14","3.3")</f>
        <v>3.3</v>
      </c>
      <c r="G4487" s="4" t="str">
        <f>HYPERLINK("http://141.218.60.56/~jnz1568/getInfo.php?workbook=14_06.xlsx&amp;sheet=U0&amp;row=4487&amp;col=7&amp;number=0.0525&amp;sourceID=14","0.0525")</f>
        <v>0.0525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HYPERLINK("http://141.218.60.56/~jnz1568/getInfo.php?workbook=14_06.xlsx&amp;sheet=U0&amp;row=4488&amp;col=6&amp;number=3.4&amp;sourceID=14","3.4")</f>
        <v>3.4</v>
      </c>
      <c r="G4488" s="4" t="str">
        <f>HYPERLINK("http://141.218.60.56/~jnz1568/getInfo.php?workbook=14_06.xlsx&amp;sheet=U0&amp;row=4488&amp;col=7&amp;number=0.0525&amp;sourceID=14","0.0525")</f>
        <v>0.0525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HYPERLINK("http://141.218.60.56/~jnz1568/getInfo.php?workbook=14_06.xlsx&amp;sheet=U0&amp;row=4489&amp;col=6&amp;number=3.5&amp;sourceID=14","3.5")</f>
        <v>3.5</v>
      </c>
      <c r="G4489" s="4" t="str">
        <f>HYPERLINK("http://141.218.60.56/~jnz1568/getInfo.php?workbook=14_06.xlsx&amp;sheet=U0&amp;row=4489&amp;col=7&amp;number=0.0525&amp;sourceID=14","0.0525")</f>
        <v>0.0525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HYPERLINK("http://141.218.60.56/~jnz1568/getInfo.php?workbook=14_06.xlsx&amp;sheet=U0&amp;row=4490&amp;col=6&amp;number=3.6&amp;sourceID=14","3.6")</f>
        <v>3.6</v>
      </c>
      <c r="G4490" s="4" t="str">
        <f>HYPERLINK("http://141.218.60.56/~jnz1568/getInfo.php?workbook=14_06.xlsx&amp;sheet=U0&amp;row=4490&amp;col=7&amp;number=0.0525&amp;sourceID=14","0.0525")</f>
        <v>0.0525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HYPERLINK("http://141.218.60.56/~jnz1568/getInfo.php?workbook=14_06.xlsx&amp;sheet=U0&amp;row=4491&amp;col=6&amp;number=3.7&amp;sourceID=14","3.7")</f>
        <v>3.7</v>
      </c>
      <c r="G4491" s="4" t="str">
        <f>HYPERLINK("http://141.218.60.56/~jnz1568/getInfo.php?workbook=14_06.xlsx&amp;sheet=U0&amp;row=4491&amp;col=7&amp;number=0.0525&amp;sourceID=14","0.0525")</f>
        <v>0.0525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HYPERLINK("http://141.218.60.56/~jnz1568/getInfo.php?workbook=14_06.xlsx&amp;sheet=U0&amp;row=4492&amp;col=6&amp;number=3.8&amp;sourceID=14","3.8")</f>
        <v>3.8</v>
      </c>
      <c r="G4492" s="4" t="str">
        <f>HYPERLINK("http://141.218.60.56/~jnz1568/getInfo.php?workbook=14_06.xlsx&amp;sheet=U0&amp;row=4492&amp;col=7&amp;number=0.0525&amp;sourceID=14","0.0525")</f>
        <v>0.0525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HYPERLINK("http://141.218.60.56/~jnz1568/getInfo.php?workbook=14_06.xlsx&amp;sheet=U0&amp;row=4493&amp;col=6&amp;number=3.9&amp;sourceID=14","3.9")</f>
        <v>3.9</v>
      </c>
      <c r="G4493" s="4" t="str">
        <f>HYPERLINK("http://141.218.60.56/~jnz1568/getInfo.php?workbook=14_06.xlsx&amp;sheet=U0&amp;row=4493&amp;col=7&amp;number=0.0525&amp;sourceID=14","0.0525")</f>
        <v>0.0525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HYPERLINK("http://141.218.60.56/~jnz1568/getInfo.php?workbook=14_06.xlsx&amp;sheet=U0&amp;row=4494&amp;col=6&amp;number=4&amp;sourceID=14","4")</f>
        <v>4</v>
      </c>
      <c r="G4494" s="4" t="str">
        <f>HYPERLINK("http://141.218.60.56/~jnz1568/getInfo.php?workbook=14_06.xlsx&amp;sheet=U0&amp;row=4494&amp;col=7&amp;number=0.0524&amp;sourceID=14","0.0524")</f>
        <v>0.0524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HYPERLINK("http://141.218.60.56/~jnz1568/getInfo.php?workbook=14_06.xlsx&amp;sheet=U0&amp;row=4495&amp;col=6&amp;number=4.1&amp;sourceID=14","4.1")</f>
        <v>4.1</v>
      </c>
      <c r="G4495" s="4" t="str">
        <f>HYPERLINK("http://141.218.60.56/~jnz1568/getInfo.php?workbook=14_06.xlsx&amp;sheet=U0&amp;row=4495&amp;col=7&amp;number=0.0524&amp;sourceID=14","0.0524")</f>
        <v>0.0524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HYPERLINK("http://141.218.60.56/~jnz1568/getInfo.php?workbook=14_06.xlsx&amp;sheet=U0&amp;row=4496&amp;col=6&amp;number=4.2&amp;sourceID=14","4.2")</f>
        <v>4.2</v>
      </c>
      <c r="G4496" s="4" t="str">
        <f>HYPERLINK("http://141.218.60.56/~jnz1568/getInfo.php?workbook=14_06.xlsx&amp;sheet=U0&amp;row=4496&amp;col=7&amp;number=0.0524&amp;sourceID=14","0.0524")</f>
        <v>0.0524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HYPERLINK("http://141.218.60.56/~jnz1568/getInfo.php?workbook=14_06.xlsx&amp;sheet=U0&amp;row=4497&amp;col=6&amp;number=4.3&amp;sourceID=14","4.3")</f>
        <v>4.3</v>
      </c>
      <c r="G4497" s="4" t="str">
        <f>HYPERLINK("http://141.218.60.56/~jnz1568/getInfo.php?workbook=14_06.xlsx&amp;sheet=U0&amp;row=4497&amp;col=7&amp;number=0.0523&amp;sourceID=14","0.0523")</f>
        <v>0.0523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HYPERLINK("http://141.218.60.56/~jnz1568/getInfo.php?workbook=14_06.xlsx&amp;sheet=U0&amp;row=4498&amp;col=6&amp;number=4.4&amp;sourceID=14","4.4")</f>
        <v>4.4</v>
      </c>
      <c r="G4498" s="4" t="str">
        <f>HYPERLINK("http://141.218.60.56/~jnz1568/getInfo.php?workbook=14_06.xlsx&amp;sheet=U0&amp;row=4498&amp;col=7&amp;number=0.0523&amp;sourceID=14","0.0523")</f>
        <v>0.0523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HYPERLINK("http://141.218.60.56/~jnz1568/getInfo.php?workbook=14_06.xlsx&amp;sheet=U0&amp;row=4499&amp;col=6&amp;number=4.5&amp;sourceID=14","4.5")</f>
        <v>4.5</v>
      </c>
      <c r="G4499" s="4" t="str">
        <f>HYPERLINK("http://141.218.60.56/~jnz1568/getInfo.php?workbook=14_06.xlsx&amp;sheet=U0&amp;row=4499&amp;col=7&amp;number=0.0522&amp;sourceID=14","0.0522")</f>
        <v>0.0522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HYPERLINK("http://141.218.60.56/~jnz1568/getInfo.php?workbook=14_06.xlsx&amp;sheet=U0&amp;row=4500&amp;col=6&amp;number=4.6&amp;sourceID=14","4.6")</f>
        <v>4.6</v>
      </c>
      <c r="G4500" s="4" t="str">
        <f>HYPERLINK("http://141.218.60.56/~jnz1568/getInfo.php?workbook=14_06.xlsx&amp;sheet=U0&amp;row=4500&amp;col=7&amp;number=0.0521&amp;sourceID=14","0.0521")</f>
        <v>0.0521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HYPERLINK("http://141.218.60.56/~jnz1568/getInfo.php?workbook=14_06.xlsx&amp;sheet=U0&amp;row=4501&amp;col=6&amp;number=4.7&amp;sourceID=14","4.7")</f>
        <v>4.7</v>
      </c>
      <c r="G4501" s="4" t="str">
        <f>HYPERLINK("http://141.218.60.56/~jnz1568/getInfo.php?workbook=14_06.xlsx&amp;sheet=U0&amp;row=4501&amp;col=7&amp;number=0.052&amp;sourceID=14","0.052")</f>
        <v>0.052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HYPERLINK("http://141.218.60.56/~jnz1568/getInfo.php?workbook=14_06.xlsx&amp;sheet=U0&amp;row=4502&amp;col=6&amp;number=4.8&amp;sourceID=14","4.8")</f>
        <v>4.8</v>
      </c>
      <c r="G4502" s="4" t="str">
        <f>HYPERLINK("http://141.218.60.56/~jnz1568/getInfo.php?workbook=14_06.xlsx&amp;sheet=U0&amp;row=4502&amp;col=7&amp;number=0.0518&amp;sourceID=14","0.0518")</f>
        <v>0.0518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HYPERLINK("http://141.218.60.56/~jnz1568/getInfo.php?workbook=14_06.xlsx&amp;sheet=U0&amp;row=4503&amp;col=6&amp;number=4.9&amp;sourceID=14","4.9")</f>
        <v>4.9</v>
      </c>
      <c r="G4503" s="4" t="str">
        <f>HYPERLINK("http://141.218.60.56/~jnz1568/getInfo.php?workbook=14_06.xlsx&amp;sheet=U0&amp;row=4503&amp;col=7&amp;number=0.0516&amp;sourceID=14","0.0516")</f>
        <v>0.0516</v>
      </c>
    </row>
    <row r="4504" spans="1:7">
      <c r="A4504" s="3">
        <v>14</v>
      </c>
      <c r="B4504" s="3">
        <v>6</v>
      </c>
      <c r="C4504" s="3">
        <v>6</v>
      </c>
      <c r="D4504" s="3">
        <v>17</v>
      </c>
      <c r="E4504" s="3">
        <v>1</v>
      </c>
      <c r="F4504" s="4" t="str">
        <f>HYPERLINK("http://141.218.60.56/~jnz1568/getInfo.php?workbook=14_06.xlsx&amp;sheet=U0&amp;row=4504&amp;col=6&amp;number=3&amp;sourceID=14","3")</f>
        <v>3</v>
      </c>
      <c r="G4504" s="4" t="str">
        <f>HYPERLINK("http://141.218.60.56/~jnz1568/getInfo.php?workbook=14_06.xlsx&amp;sheet=U0&amp;row=4504&amp;col=7&amp;number=0.0306&amp;sourceID=14","0.0306")</f>
        <v>0.0306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HYPERLINK("http://141.218.60.56/~jnz1568/getInfo.php?workbook=14_06.xlsx&amp;sheet=U0&amp;row=4505&amp;col=6&amp;number=3.1&amp;sourceID=14","3.1")</f>
        <v>3.1</v>
      </c>
      <c r="G4505" s="4" t="str">
        <f>HYPERLINK("http://141.218.60.56/~jnz1568/getInfo.php?workbook=14_06.xlsx&amp;sheet=U0&amp;row=4505&amp;col=7&amp;number=0.0306&amp;sourceID=14","0.0306")</f>
        <v>0.0306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HYPERLINK("http://141.218.60.56/~jnz1568/getInfo.php?workbook=14_06.xlsx&amp;sheet=U0&amp;row=4506&amp;col=6&amp;number=3.2&amp;sourceID=14","3.2")</f>
        <v>3.2</v>
      </c>
      <c r="G4506" s="4" t="str">
        <f>HYPERLINK("http://141.218.60.56/~jnz1568/getInfo.php?workbook=14_06.xlsx&amp;sheet=U0&amp;row=4506&amp;col=7&amp;number=0.0306&amp;sourceID=14","0.0306")</f>
        <v>0.0306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HYPERLINK("http://141.218.60.56/~jnz1568/getInfo.php?workbook=14_06.xlsx&amp;sheet=U0&amp;row=4507&amp;col=6&amp;number=3.3&amp;sourceID=14","3.3")</f>
        <v>3.3</v>
      </c>
      <c r="G4507" s="4" t="str">
        <f>HYPERLINK("http://141.218.60.56/~jnz1568/getInfo.php?workbook=14_06.xlsx&amp;sheet=U0&amp;row=4507&amp;col=7&amp;number=0.0306&amp;sourceID=14","0.0306")</f>
        <v>0.0306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HYPERLINK("http://141.218.60.56/~jnz1568/getInfo.php?workbook=14_06.xlsx&amp;sheet=U0&amp;row=4508&amp;col=6&amp;number=3.4&amp;sourceID=14","3.4")</f>
        <v>3.4</v>
      </c>
      <c r="G4508" s="4" t="str">
        <f>HYPERLINK("http://141.218.60.56/~jnz1568/getInfo.php?workbook=14_06.xlsx&amp;sheet=U0&amp;row=4508&amp;col=7&amp;number=0.0306&amp;sourceID=14","0.0306")</f>
        <v>0.0306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HYPERLINK("http://141.218.60.56/~jnz1568/getInfo.php?workbook=14_06.xlsx&amp;sheet=U0&amp;row=4509&amp;col=6&amp;number=3.5&amp;sourceID=14","3.5")</f>
        <v>3.5</v>
      </c>
      <c r="G4509" s="4" t="str">
        <f>HYPERLINK("http://141.218.60.56/~jnz1568/getInfo.php?workbook=14_06.xlsx&amp;sheet=U0&amp;row=4509&amp;col=7&amp;number=0.0306&amp;sourceID=14","0.0306")</f>
        <v>0.0306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HYPERLINK("http://141.218.60.56/~jnz1568/getInfo.php?workbook=14_06.xlsx&amp;sheet=U0&amp;row=4510&amp;col=6&amp;number=3.6&amp;sourceID=14","3.6")</f>
        <v>3.6</v>
      </c>
      <c r="G4510" s="4" t="str">
        <f>HYPERLINK("http://141.218.60.56/~jnz1568/getInfo.php?workbook=14_06.xlsx&amp;sheet=U0&amp;row=4510&amp;col=7&amp;number=0.0306&amp;sourceID=14","0.0306")</f>
        <v>0.0306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HYPERLINK("http://141.218.60.56/~jnz1568/getInfo.php?workbook=14_06.xlsx&amp;sheet=U0&amp;row=4511&amp;col=6&amp;number=3.7&amp;sourceID=14","3.7")</f>
        <v>3.7</v>
      </c>
      <c r="G4511" s="4" t="str">
        <f>HYPERLINK("http://141.218.60.56/~jnz1568/getInfo.php?workbook=14_06.xlsx&amp;sheet=U0&amp;row=4511&amp;col=7&amp;number=0.0306&amp;sourceID=14","0.0306")</f>
        <v>0.0306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HYPERLINK("http://141.218.60.56/~jnz1568/getInfo.php?workbook=14_06.xlsx&amp;sheet=U0&amp;row=4512&amp;col=6&amp;number=3.8&amp;sourceID=14","3.8")</f>
        <v>3.8</v>
      </c>
      <c r="G4512" s="4" t="str">
        <f>HYPERLINK("http://141.218.60.56/~jnz1568/getInfo.php?workbook=14_06.xlsx&amp;sheet=U0&amp;row=4512&amp;col=7&amp;number=0.0306&amp;sourceID=14","0.0306")</f>
        <v>0.0306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HYPERLINK("http://141.218.60.56/~jnz1568/getInfo.php?workbook=14_06.xlsx&amp;sheet=U0&amp;row=4513&amp;col=6&amp;number=3.9&amp;sourceID=14","3.9")</f>
        <v>3.9</v>
      </c>
      <c r="G4513" s="4" t="str">
        <f>HYPERLINK("http://141.218.60.56/~jnz1568/getInfo.php?workbook=14_06.xlsx&amp;sheet=U0&amp;row=4513&amp;col=7&amp;number=0.0306&amp;sourceID=14","0.0306")</f>
        <v>0.0306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HYPERLINK("http://141.218.60.56/~jnz1568/getInfo.php?workbook=14_06.xlsx&amp;sheet=U0&amp;row=4514&amp;col=6&amp;number=4&amp;sourceID=14","4")</f>
        <v>4</v>
      </c>
      <c r="G4514" s="4" t="str">
        <f>HYPERLINK("http://141.218.60.56/~jnz1568/getInfo.php?workbook=14_06.xlsx&amp;sheet=U0&amp;row=4514&amp;col=7&amp;number=0.0305&amp;sourceID=14","0.0305")</f>
        <v>0.0305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HYPERLINK("http://141.218.60.56/~jnz1568/getInfo.php?workbook=14_06.xlsx&amp;sheet=U0&amp;row=4515&amp;col=6&amp;number=4.1&amp;sourceID=14","4.1")</f>
        <v>4.1</v>
      </c>
      <c r="G4515" s="4" t="str">
        <f>HYPERLINK("http://141.218.60.56/~jnz1568/getInfo.php?workbook=14_06.xlsx&amp;sheet=U0&amp;row=4515&amp;col=7&amp;number=0.0305&amp;sourceID=14","0.0305")</f>
        <v>0.0305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HYPERLINK("http://141.218.60.56/~jnz1568/getInfo.php?workbook=14_06.xlsx&amp;sheet=U0&amp;row=4516&amp;col=6&amp;number=4.2&amp;sourceID=14","4.2")</f>
        <v>4.2</v>
      </c>
      <c r="G4516" s="4" t="str">
        <f>HYPERLINK("http://141.218.60.56/~jnz1568/getInfo.php?workbook=14_06.xlsx&amp;sheet=U0&amp;row=4516&amp;col=7&amp;number=0.0305&amp;sourceID=14","0.0305")</f>
        <v>0.0305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HYPERLINK("http://141.218.60.56/~jnz1568/getInfo.php?workbook=14_06.xlsx&amp;sheet=U0&amp;row=4517&amp;col=6&amp;number=4.3&amp;sourceID=14","4.3")</f>
        <v>4.3</v>
      </c>
      <c r="G4517" s="4" t="str">
        <f>HYPERLINK("http://141.218.60.56/~jnz1568/getInfo.php?workbook=14_06.xlsx&amp;sheet=U0&amp;row=4517&amp;col=7&amp;number=0.0305&amp;sourceID=14","0.0305")</f>
        <v>0.0305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HYPERLINK("http://141.218.60.56/~jnz1568/getInfo.php?workbook=14_06.xlsx&amp;sheet=U0&amp;row=4518&amp;col=6&amp;number=4.4&amp;sourceID=14","4.4")</f>
        <v>4.4</v>
      </c>
      <c r="G4518" s="4" t="str">
        <f>HYPERLINK("http://141.218.60.56/~jnz1568/getInfo.php?workbook=14_06.xlsx&amp;sheet=U0&amp;row=4518&amp;col=7&amp;number=0.0304&amp;sourceID=14","0.0304")</f>
        <v>0.0304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HYPERLINK("http://141.218.60.56/~jnz1568/getInfo.php?workbook=14_06.xlsx&amp;sheet=U0&amp;row=4519&amp;col=6&amp;number=4.5&amp;sourceID=14","4.5")</f>
        <v>4.5</v>
      </c>
      <c r="G4519" s="4" t="str">
        <f>HYPERLINK("http://141.218.60.56/~jnz1568/getInfo.php?workbook=14_06.xlsx&amp;sheet=U0&amp;row=4519&amp;col=7&amp;number=0.0304&amp;sourceID=14","0.0304")</f>
        <v>0.0304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HYPERLINK("http://141.218.60.56/~jnz1568/getInfo.php?workbook=14_06.xlsx&amp;sheet=U0&amp;row=4520&amp;col=6&amp;number=4.6&amp;sourceID=14","4.6")</f>
        <v>4.6</v>
      </c>
      <c r="G4520" s="4" t="str">
        <f>HYPERLINK("http://141.218.60.56/~jnz1568/getInfo.php?workbook=14_06.xlsx&amp;sheet=U0&amp;row=4520&amp;col=7&amp;number=0.0303&amp;sourceID=14","0.0303")</f>
        <v>0.0303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HYPERLINK("http://141.218.60.56/~jnz1568/getInfo.php?workbook=14_06.xlsx&amp;sheet=U0&amp;row=4521&amp;col=6&amp;number=4.7&amp;sourceID=14","4.7")</f>
        <v>4.7</v>
      </c>
      <c r="G4521" s="4" t="str">
        <f>HYPERLINK("http://141.218.60.56/~jnz1568/getInfo.php?workbook=14_06.xlsx&amp;sheet=U0&amp;row=4521&amp;col=7&amp;number=0.0303&amp;sourceID=14","0.0303")</f>
        <v>0.0303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HYPERLINK("http://141.218.60.56/~jnz1568/getInfo.php?workbook=14_06.xlsx&amp;sheet=U0&amp;row=4522&amp;col=6&amp;number=4.8&amp;sourceID=14","4.8")</f>
        <v>4.8</v>
      </c>
      <c r="G4522" s="4" t="str">
        <f>HYPERLINK("http://141.218.60.56/~jnz1568/getInfo.php?workbook=14_06.xlsx&amp;sheet=U0&amp;row=4522&amp;col=7&amp;number=0.0302&amp;sourceID=14","0.0302")</f>
        <v>0.0302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HYPERLINK("http://141.218.60.56/~jnz1568/getInfo.php?workbook=14_06.xlsx&amp;sheet=U0&amp;row=4523&amp;col=6&amp;number=4.9&amp;sourceID=14","4.9")</f>
        <v>4.9</v>
      </c>
      <c r="G4523" s="4" t="str">
        <f>HYPERLINK("http://141.218.60.56/~jnz1568/getInfo.php?workbook=14_06.xlsx&amp;sheet=U0&amp;row=4523&amp;col=7&amp;number=0.03&amp;sourceID=14","0.03")</f>
        <v>0.03</v>
      </c>
    </row>
    <row r="4524" spans="1:7">
      <c r="A4524" s="3">
        <v>14</v>
      </c>
      <c r="B4524" s="3">
        <v>6</v>
      </c>
      <c r="C4524" s="3">
        <v>6</v>
      </c>
      <c r="D4524" s="3">
        <v>18</v>
      </c>
      <c r="E4524" s="3">
        <v>1</v>
      </c>
      <c r="F4524" s="4" t="str">
        <f>HYPERLINK("http://141.218.60.56/~jnz1568/getInfo.php?workbook=14_06.xlsx&amp;sheet=U0&amp;row=4524&amp;col=6&amp;number=3&amp;sourceID=14","3")</f>
        <v>3</v>
      </c>
      <c r="G4524" s="4" t="str">
        <f>HYPERLINK("http://141.218.60.56/~jnz1568/getInfo.php?workbook=14_06.xlsx&amp;sheet=U0&amp;row=4524&amp;col=7&amp;number=0.0101&amp;sourceID=14","0.0101")</f>
        <v>0.0101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HYPERLINK("http://141.218.60.56/~jnz1568/getInfo.php?workbook=14_06.xlsx&amp;sheet=U0&amp;row=4525&amp;col=6&amp;number=3.1&amp;sourceID=14","3.1")</f>
        <v>3.1</v>
      </c>
      <c r="G4525" s="4" t="str">
        <f>HYPERLINK("http://141.218.60.56/~jnz1568/getInfo.php?workbook=14_06.xlsx&amp;sheet=U0&amp;row=4525&amp;col=7&amp;number=0.0101&amp;sourceID=14","0.0101")</f>
        <v>0.0101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HYPERLINK("http://141.218.60.56/~jnz1568/getInfo.php?workbook=14_06.xlsx&amp;sheet=U0&amp;row=4526&amp;col=6&amp;number=3.2&amp;sourceID=14","3.2")</f>
        <v>3.2</v>
      </c>
      <c r="G4526" s="4" t="str">
        <f>HYPERLINK("http://141.218.60.56/~jnz1568/getInfo.php?workbook=14_06.xlsx&amp;sheet=U0&amp;row=4526&amp;col=7&amp;number=0.0101&amp;sourceID=14","0.0101")</f>
        <v>0.0101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HYPERLINK("http://141.218.60.56/~jnz1568/getInfo.php?workbook=14_06.xlsx&amp;sheet=U0&amp;row=4527&amp;col=6&amp;number=3.3&amp;sourceID=14","3.3")</f>
        <v>3.3</v>
      </c>
      <c r="G4527" s="4" t="str">
        <f>HYPERLINK("http://141.218.60.56/~jnz1568/getInfo.php?workbook=14_06.xlsx&amp;sheet=U0&amp;row=4527&amp;col=7&amp;number=0.0101&amp;sourceID=14","0.0101")</f>
        <v>0.0101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HYPERLINK("http://141.218.60.56/~jnz1568/getInfo.php?workbook=14_06.xlsx&amp;sheet=U0&amp;row=4528&amp;col=6&amp;number=3.4&amp;sourceID=14","3.4")</f>
        <v>3.4</v>
      </c>
      <c r="G4528" s="4" t="str">
        <f>HYPERLINK("http://141.218.60.56/~jnz1568/getInfo.php?workbook=14_06.xlsx&amp;sheet=U0&amp;row=4528&amp;col=7&amp;number=0.0101&amp;sourceID=14","0.0101")</f>
        <v>0.0101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HYPERLINK("http://141.218.60.56/~jnz1568/getInfo.php?workbook=14_06.xlsx&amp;sheet=U0&amp;row=4529&amp;col=6&amp;number=3.5&amp;sourceID=14","3.5")</f>
        <v>3.5</v>
      </c>
      <c r="G4529" s="4" t="str">
        <f>HYPERLINK("http://141.218.60.56/~jnz1568/getInfo.php?workbook=14_06.xlsx&amp;sheet=U0&amp;row=4529&amp;col=7&amp;number=0.0101&amp;sourceID=14","0.0101")</f>
        <v>0.0101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HYPERLINK("http://141.218.60.56/~jnz1568/getInfo.php?workbook=14_06.xlsx&amp;sheet=U0&amp;row=4530&amp;col=6&amp;number=3.6&amp;sourceID=14","3.6")</f>
        <v>3.6</v>
      </c>
      <c r="G4530" s="4" t="str">
        <f>HYPERLINK("http://141.218.60.56/~jnz1568/getInfo.php?workbook=14_06.xlsx&amp;sheet=U0&amp;row=4530&amp;col=7&amp;number=0.0101&amp;sourceID=14","0.0101")</f>
        <v>0.0101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HYPERLINK("http://141.218.60.56/~jnz1568/getInfo.php?workbook=14_06.xlsx&amp;sheet=U0&amp;row=4531&amp;col=6&amp;number=3.7&amp;sourceID=14","3.7")</f>
        <v>3.7</v>
      </c>
      <c r="G4531" s="4" t="str">
        <f>HYPERLINK("http://141.218.60.56/~jnz1568/getInfo.php?workbook=14_06.xlsx&amp;sheet=U0&amp;row=4531&amp;col=7&amp;number=0.0101&amp;sourceID=14","0.0101")</f>
        <v>0.0101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HYPERLINK("http://141.218.60.56/~jnz1568/getInfo.php?workbook=14_06.xlsx&amp;sheet=U0&amp;row=4532&amp;col=6&amp;number=3.8&amp;sourceID=14","3.8")</f>
        <v>3.8</v>
      </c>
      <c r="G4532" s="4" t="str">
        <f>HYPERLINK("http://141.218.60.56/~jnz1568/getInfo.php?workbook=14_06.xlsx&amp;sheet=U0&amp;row=4532&amp;col=7&amp;number=0.0101&amp;sourceID=14","0.0101")</f>
        <v>0.0101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HYPERLINK("http://141.218.60.56/~jnz1568/getInfo.php?workbook=14_06.xlsx&amp;sheet=U0&amp;row=4533&amp;col=6&amp;number=3.9&amp;sourceID=14","3.9")</f>
        <v>3.9</v>
      </c>
      <c r="G4533" s="4" t="str">
        <f>HYPERLINK("http://141.218.60.56/~jnz1568/getInfo.php?workbook=14_06.xlsx&amp;sheet=U0&amp;row=4533&amp;col=7&amp;number=0.0101&amp;sourceID=14","0.0101")</f>
        <v>0.0101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HYPERLINK("http://141.218.60.56/~jnz1568/getInfo.php?workbook=14_06.xlsx&amp;sheet=U0&amp;row=4534&amp;col=6&amp;number=4&amp;sourceID=14","4")</f>
        <v>4</v>
      </c>
      <c r="G4534" s="4" t="str">
        <f>HYPERLINK("http://141.218.60.56/~jnz1568/getInfo.php?workbook=14_06.xlsx&amp;sheet=U0&amp;row=4534&amp;col=7&amp;number=0.0101&amp;sourceID=14","0.0101")</f>
        <v>0.0101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HYPERLINK("http://141.218.60.56/~jnz1568/getInfo.php?workbook=14_06.xlsx&amp;sheet=U0&amp;row=4535&amp;col=6&amp;number=4.1&amp;sourceID=14","4.1")</f>
        <v>4.1</v>
      </c>
      <c r="G4535" s="4" t="str">
        <f>HYPERLINK("http://141.218.60.56/~jnz1568/getInfo.php?workbook=14_06.xlsx&amp;sheet=U0&amp;row=4535&amp;col=7&amp;number=0.0101&amp;sourceID=14","0.0101")</f>
        <v>0.0101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HYPERLINK("http://141.218.60.56/~jnz1568/getInfo.php?workbook=14_06.xlsx&amp;sheet=U0&amp;row=4536&amp;col=6&amp;number=4.2&amp;sourceID=14","4.2")</f>
        <v>4.2</v>
      </c>
      <c r="G4536" s="4" t="str">
        <f>HYPERLINK("http://141.218.60.56/~jnz1568/getInfo.php?workbook=14_06.xlsx&amp;sheet=U0&amp;row=4536&amp;col=7&amp;number=0.0101&amp;sourceID=14","0.0101")</f>
        <v>0.0101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HYPERLINK("http://141.218.60.56/~jnz1568/getInfo.php?workbook=14_06.xlsx&amp;sheet=U0&amp;row=4537&amp;col=6&amp;number=4.3&amp;sourceID=14","4.3")</f>
        <v>4.3</v>
      </c>
      <c r="G4537" s="4" t="str">
        <f>HYPERLINK("http://141.218.60.56/~jnz1568/getInfo.php?workbook=14_06.xlsx&amp;sheet=U0&amp;row=4537&amp;col=7&amp;number=0.01&amp;sourceID=14","0.01")</f>
        <v>0.01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HYPERLINK("http://141.218.60.56/~jnz1568/getInfo.php?workbook=14_06.xlsx&amp;sheet=U0&amp;row=4538&amp;col=6&amp;number=4.4&amp;sourceID=14","4.4")</f>
        <v>4.4</v>
      </c>
      <c r="G4538" s="4" t="str">
        <f>HYPERLINK("http://141.218.60.56/~jnz1568/getInfo.php?workbook=14_06.xlsx&amp;sheet=U0&amp;row=4538&amp;col=7&amp;number=0.01&amp;sourceID=14","0.01")</f>
        <v>0.01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HYPERLINK("http://141.218.60.56/~jnz1568/getInfo.php?workbook=14_06.xlsx&amp;sheet=U0&amp;row=4539&amp;col=6&amp;number=4.5&amp;sourceID=14","4.5")</f>
        <v>4.5</v>
      </c>
      <c r="G4539" s="4" t="str">
        <f>HYPERLINK("http://141.218.60.56/~jnz1568/getInfo.php?workbook=14_06.xlsx&amp;sheet=U0&amp;row=4539&amp;col=7&amp;number=0.01&amp;sourceID=14","0.01")</f>
        <v>0.01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HYPERLINK("http://141.218.60.56/~jnz1568/getInfo.php?workbook=14_06.xlsx&amp;sheet=U0&amp;row=4540&amp;col=6&amp;number=4.6&amp;sourceID=14","4.6")</f>
        <v>4.6</v>
      </c>
      <c r="G4540" s="4" t="str">
        <f>HYPERLINK("http://141.218.60.56/~jnz1568/getInfo.php?workbook=14_06.xlsx&amp;sheet=U0&amp;row=4540&amp;col=7&amp;number=0.01&amp;sourceID=14","0.01")</f>
        <v>0.01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HYPERLINK("http://141.218.60.56/~jnz1568/getInfo.php?workbook=14_06.xlsx&amp;sheet=U0&amp;row=4541&amp;col=6&amp;number=4.7&amp;sourceID=14","4.7")</f>
        <v>4.7</v>
      </c>
      <c r="G4541" s="4" t="str">
        <f>HYPERLINK("http://141.218.60.56/~jnz1568/getInfo.php?workbook=14_06.xlsx&amp;sheet=U0&amp;row=4541&amp;col=7&amp;number=0.00997&amp;sourceID=14","0.00997")</f>
        <v>0.00997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HYPERLINK("http://141.218.60.56/~jnz1568/getInfo.php?workbook=14_06.xlsx&amp;sheet=U0&amp;row=4542&amp;col=6&amp;number=4.8&amp;sourceID=14","4.8")</f>
        <v>4.8</v>
      </c>
      <c r="G4542" s="4" t="str">
        <f>HYPERLINK("http://141.218.60.56/~jnz1568/getInfo.php?workbook=14_06.xlsx&amp;sheet=U0&amp;row=4542&amp;col=7&amp;number=0.00994&amp;sourceID=14","0.00994")</f>
        <v>0.00994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HYPERLINK("http://141.218.60.56/~jnz1568/getInfo.php?workbook=14_06.xlsx&amp;sheet=U0&amp;row=4543&amp;col=6&amp;number=4.9&amp;sourceID=14","4.9")</f>
        <v>4.9</v>
      </c>
      <c r="G4543" s="4" t="str">
        <f>HYPERLINK("http://141.218.60.56/~jnz1568/getInfo.php?workbook=14_06.xlsx&amp;sheet=U0&amp;row=4543&amp;col=7&amp;number=0.00991&amp;sourceID=14","0.00991")</f>
        <v>0.00991</v>
      </c>
    </row>
    <row r="4544" spans="1:7">
      <c r="A4544" s="3">
        <v>14</v>
      </c>
      <c r="B4544" s="3">
        <v>6</v>
      </c>
      <c r="C4544" s="3">
        <v>6</v>
      </c>
      <c r="D4544" s="3">
        <v>19</v>
      </c>
      <c r="E4544" s="3">
        <v>1</v>
      </c>
      <c r="F4544" s="4" t="str">
        <f>HYPERLINK("http://141.218.60.56/~jnz1568/getInfo.php?workbook=14_06.xlsx&amp;sheet=U0&amp;row=4544&amp;col=6&amp;number=3&amp;sourceID=14","3")</f>
        <v>3</v>
      </c>
      <c r="G4544" s="4" t="str">
        <f>HYPERLINK("http://141.218.60.56/~jnz1568/getInfo.php?workbook=14_06.xlsx&amp;sheet=U0&amp;row=4544&amp;col=7&amp;number=8.71e-05&amp;sourceID=14","8.71e-05")</f>
        <v>8.71e-05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HYPERLINK("http://141.218.60.56/~jnz1568/getInfo.php?workbook=14_06.xlsx&amp;sheet=U0&amp;row=4545&amp;col=6&amp;number=3.1&amp;sourceID=14","3.1")</f>
        <v>3.1</v>
      </c>
      <c r="G4545" s="4" t="str">
        <f>HYPERLINK("http://141.218.60.56/~jnz1568/getInfo.php?workbook=14_06.xlsx&amp;sheet=U0&amp;row=4545&amp;col=7&amp;number=8.71e-05&amp;sourceID=14","8.71e-05")</f>
        <v>8.71e-05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HYPERLINK("http://141.218.60.56/~jnz1568/getInfo.php?workbook=14_06.xlsx&amp;sheet=U0&amp;row=4546&amp;col=6&amp;number=3.2&amp;sourceID=14","3.2")</f>
        <v>3.2</v>
      </c>
      <c r="G4546" s="4" t="str">
        <f>HYPERLINK("http://141.218.60.56/~jnz1568/getInfo.php?workbook=14_06.xlsx&amp;sheet=U0&amp;row=4546&amp;col=7&amp;number=8.7e-05&amp;sourceID=14","8.7e-05")</f>
        <v>8.7e-05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HYPERLINK("http://141.218.60.56/~jnz1568/getInfo.php?workbook=14_06.xlsx&amp;sheet=U0&amp;row=4547&amp;col=6&amp;number=3.3&amp;sourceID=14","3.3")</f>
        <v>3.3</v>
      </c>
      <c r="G4547" s="4" t="str">
        <f>HYPERLINK("http://141.218.60.56/~jnz1568/getInfo.php?workbook=14_06.xlsx&amp;sheet=U0&amp;row=4547&amp;col=7&amp;number=8.7e-05&amp;sourceID=14","8.7e-05")</f>
        <v>8.7e-05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HYPERLINK("http://141.218.60.56/~jnz1568/getInfo.php?workbook=14_06.xlsx&amp;sheet=U0&amp;row=4548&amp;col=6&amp;number=3.4&amp;sourceID=14","3.4")</f>
        <v>3.4</v>
      </c>
      <c r="G4548" s="4" t="str">
        <f>HYPERLINK("http://141.218.60.56/~jnz1568/getInfo.php?workbook=14_06.xlsx&amp;sheet=U0&amp;row=4548&amp;col=7&amp;number=8.7e-05&amp;sourceID=14","8.7e-05")</f>
        <v>8.7e-05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HYPERLINK("http://141.218.60.56/~jnz1568/getInfo.php?workbook=14_06.xlsx&amp;sheet=U0&amp;row=4549&amp;col=6&amp;number=3.5&amp;sourceID=14","3.5")</f>
        <v>3.5</v>
      </c>
      <c r="G4549" s="4" t="str">
        <f>HYPERLINK("http://141.218.60.56/~jnz1568/getInfo.php?workbook=14_06.xlsx&amp;sheet=U0&amp;row=4549&amp;col=7&amp;number=8.7e-05&amp;sourceID=14","8.7e-05")</f>
        <v>8.7e-05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HYPERLINK("http://141.218.60.56/~jnz1568/getInfo.php?workbook=14_06.xlsx&amp;sheet=U0&amp;row=4550&amp;col=6&amp;number=3.6&amp;sourceID=14","3.6")</f>
        <v>3.6</v>
      </c>
      <c r="G4550" s="4" t="str">
        <f>HYPERLINK("http://141.218.60.56/~jnz1568/getInfo.php?workbook=14_06.xlsx&amp;sheet=U0&amp;row=4550&amp;col=7&amp;number=8.7e-05&amp;sourceID=14","8.7e-05")</f>
        <v>8.7e-05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HYPERLINK("http://141.218.60.56/~jnz1568/getInfo.php?workbook=14_06.xlsx&amp;sheet=U0&amp;row=4551&amp;col=6&amp;number=3.7&amp;sourceID=14","3.7")</f>
        <v>3.7</v>
      </c>
      <c r="G4551" s="4" t="str">
        <f>HYPERLINK("http://141.218.60.56/~jnz1568/getInfo.php?workbook=14_06.xlsx&amp;sheet=U0&amp;row=4551&amp;col=7&amp;number=8.7e-05&amp;sourceID=14","8.7e-05")</f>
        <v>8.7e-05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HYPERLINK("http://141.218.60.56/~jnz1568/getInfo.php?workbook=14_06.xlsx&amp;sheet=U0&amp;row=4552&amp;col=6&amp;number=3.8&amp;sourceID=14","3.8")</f>
        <v>3.8</v>
      </c>
      <c r="G4552" s="4" t="str">
        <f>HYPERLINK("http://141.218.60.56/~jnz1568/getInfo.php?workbook=14_06.xlsx&amp;sheet=U0&amp;row=4552&amp;col=7&amp;number=8.7e-05&amp;sourceID=14","8.7e-05")</f>
        <v>8.7e-05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HYPERLINK("http://141.218.60.56/~jnz1568/getInfo.php?workbook=14_06.xlsx&amp;sheet=U0&amp;row=4553&amp;col=6&amp;number=3.9&amp;sourceID=14","3.9")</f>
        <v>3.9</v>
      </c>
      <c r="G4553" s="4" t="str">
        <f>HYPERLINK("http://141.218.60.56/~jnz1568/getInfo.php?workbook=14_06.xlsx&amp;sheet=U0&amp;row=4553&amp;col=7&amp;number=8.69e-05&amp;sourceID=14","8.69e-05")</f>
        <v>8.69e-05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HYPERLINK("http://141.218.60.56/~jnz1568/getInfo.php?workbook=14_06.xlsx&amp;sheet=U0&amp;row=4554&amp;col=6&amp;number=4&amp;sourceID=14","4")</f>
        <v>4</v>
      </c>
      <c r="G4554" s="4" t="str">
        <f>HYPERLINK("http://141.218.60.56/~jnz1568/getInfo.php?workbook=14_06.xlsx&amp;sheet=U0&amp;row=4554&amp;col=7&amp;number=8.69e-05&amp;sourceID=14","8.69e-05")</f>
        <v>8.69e-05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HYPERLINK("http://141.218.60.56/~jnz1568/getInfo.php?workbook=14_06.xlsx&amp;sheet=U0&amp;row=4555&amp;col=6&amp;number=4.1&amp;sourceID=14","4.1")</f>
        <v>4.1</v>
      </c>
      <c r="G4555" s="4" t="str">
        <f>HYPERLINK("http://141.218.60.56/~jnz1568/getInfo.php?workbook=14_06.xlsx&amp;sheet=U0&amp;row=4555&amp;col=7&amp;number=8.68e-05&amp;sourceID=14","8.68e-05")</f>
        <v>8.68e-05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HYPERLINK("http://141.218.60.56/~jnz1568/getInfo.php?workbook=14_06.xlsx&amp;sheet=U0&amp;row=4556&amp;col=6&amp;number=4.2&amp;sourceID=14","4.2")</f>
        <v>4.2</v>
      </c>
      <c r="G4556" s="4" t="str">
        <f>HYPERLINK("http://141.218.60.56/~jnz1568/getInfo.php?workbook=14_06.xlsx&amp;sheet=U0&amp;row=4556&amp;col=7&amp;number=8.68e-05&amp;sourceID=14","8.68e-05")</f>
        <v>8.68e-05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HYPERLINK("http://141.218.60.56/~jnz1568/getInfo.php?workbook=14_06.xlsx&amp;sheet=U0&amp;row=4557&amp;col=6&amp;number=4.3&amp;sourceID=14","4.3")</f>
        <v>4.3</v>
      </c>
      <c r="G4557" s="4" t="str">
        <f>HYPERLINK("http://141.218.60.56/~jnz1568/getInfo.php?workbook=14_06.xlsx&amp;sheet=U0&amp;row=4557&amp;col=7&amp;number=8.67e-05&amp;sourceID=14","8.67e-05")</f>
        <v>8.67e-05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HYPERLINK("http://141.218.60.56/~jnz1568/getInfo.php?workbook=14_06.xlsx&amp;sheet=U0&amp;row=4558&amp;col=6&amp;number=4.4&amp;sourceID=14","4.4")</f>
        <v>4.4</v>
      </c>
      <c r="G4558" s="4" t="str">
        <f>HYPERLINK("http://141.218.60.56/~jnz1568/getInfo.php?workbook=14_06.xlsx&amp;sheet=U0&amp;row=4558&amp;col=7&amp;number=8.66e-05&amp;sourceID=14","8.66e-05")</f>
        <v>8.66e-05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HYPERLINK("http://141.218.60.56/~jnz1568/getInfo.php?workbook=14_06.xlsx&amp;sheet=U0&amp;row=4559&amp;col=6&amp;number=4.5&amp;sourceID=14","4.5")</f>
        <v>4.5</v>
      </c>
      <c r="G4559" s="4" t="str">
        <f>HYPERLINK("http://141.218.60.56/~jnz1568/getInfo.php?workbook=14_06.xlsx&amp;sheet=U0&amp;row=4559&amp;col=7&amp;number=8.65e-05&amp;sourceID=14","8.65e-05")</f>
        <v>8.65e-05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HYPERLINK("http://141.218.60.56/~jnz1568/getInfo.php?workbook=14_06.xlsx&amp;sheet=U0&amp;row=4560&amp;col=6&amp;number=4.6&amp;sourceID=14","4.6")</f>
        <v>4.6</v>
      </c>
      <c r="G4560" s="4" t="str">
        <f>HYPERLINK("http://141.218.60.56/~jnz1568/getInfo.php?workbook=14_06.xlsx&amp;sheet=U0&amp;row=4560&amp;col=7&amp;number=8.63e-05&amp;sourceID=14","8.63e-05")</f>
        <v>8.63e-05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HYPERLINK("http://141.218.60.56/~jnz1568/getInfo.php?workbook=14_06.xlsx&amp;sheet=U0&amp;row=4561&amp;col=6&amp;number=4.7&amp;sourceID=14","4.7")</f>
        <v>4.7</v>
      </c>
      <c r="G4561" s="4" t="str">
        <f>HYPERLINK("http://141.218.60.56/~jnz1568/getInfo.php?workbook=14_06.xlsx&amp;sheet=U0&amp;row=4561&amp;col=7&amp;number=8.61e-05&amp;sourceID=14","8.61e-05")</f>
        <v>8.61e-05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HYPERLINK("http://141.218.60.56/~jnz1568/getInfo.php?workbook=14_06.xlsx&amp;sheet=U0&amp;row=4562&amp;col=6&amp;number=4.8&amp;sourceID=14","4.8")</f>
        <v>4.8</v>
      </c>
      <c r="G4562" s="4" t="str">
        <f>HYPERLINK("http://141.218.60.56/~jnz1568/getInfo.php?workbook=14_06.xlsx&amp;sheet=U0&amp;row=4562&amp;col=7&amp;number=8.58e-05&amp;sourceID=14","8.58e-05")</f>
        <v>8.58e-05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HYPERLINK("http://141.218.60.56/~jnz1568/getInfo.php?workbook=14_06.xlsx&amp;sheet=U0&amp;row=4563&amp;col=6&amp;number=4.9&amp;sourceID=14","4.9")</f>
        <v>4.9</v>
      </c>
      <c r="G4563" s="4" t="str">
        <f>HYPERLINK("http://141.218.60.56/~jnz1568/getInfo.php?workbook=14_06.xlsx&amp;sheet=U0&amp;row=4563&amp;col=7&amp;number=8.55e-05&amp;sourceID=14","8.55e-05")</f>
        <v>8.55e-05</v>
      </c>
    </row>
    <row r="4564" spans="1:7">
      <c r="A4564" s="3">
        <v>14</v>
      </c>
      <c r="B4564" s="3">
        <v>6</v>
      </c>
      <c r="C4564" s="3">
        <v>6</v>
      </c>
      <c r="D4564" s="3">
        <v>20</v>
      </c>
      <c r="E4564" s="3">
        <v>1</v>
      </c>
      <c r="F4564" s="4" t="str">
        <f>HYPERLINK("http://141.218.60.56/~jnz1568/getInfo.php?workbook=14_06.xlsx&amp;sheet=U0&amp;row=4564&amp;col=6&amp;number=3&amp;sourceID=14","3")</f>
        <v>3</v>
      </c>
      <c r="G4564" s="4" t="str">
        <f>HYPERLINK("http://141.218.60.56/~jnz1568/getInfo.php?workbook=14_06.xlsx&amp;sheet=U0&amp;row=4564&amp;col=7&amp;number=2.4e-06&amp;sourceID=14","2.4e-06")</f>
        <v>2.4e-06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HYPERLINK("http://141.218.60.56/~jnz1568/getInfo.php?workbook=14_06.xlsx&amp;sheet=U0&amp;row=4565&amp;col=6&amp;number=3.1&amp;sourceID=14","3.1")</f>
        <v>3.1</v>
      </c>
      <c r="G4565" s="4" t="str">
        <f>HYPERLINK("http://141.218.60.56/~jnz1568/getInfo.php?workbook=14_06.xlsx&amp;sheet=U0&amp;row=4565&amp;col=7&amp;number=2.4e-06&amp;sourceID=14","2.4e-06")</f>
        <v>2.4e-06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HYPERLINK("http://141.218.60.56/~jnz1568/getInfo.php?workbook=14_06.xlsx&amp;sheet=U0&amp;row=4566&amp;col=6&amp;number=3.2&amp;sourceID=14","3.2")</f>
        <v>3.2</v>
      </c>
      <c r="G4566" s="4" t="str">
        <f>HYPERLINK("http://141.218.60.56/~jnz1568/getInfo.php?workbook=14_06.xlsx&amp;sheet=U0&amp;row=4566&amp;col=7&amp;number=2.4e-06&amp;sourceID=14","2.4e-06")</f>
        <v>2.4e-06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HYPERLINK("http://141.218.60.56/~jnz1568/getInfo.php?workbook=14_06.xlsx&amp;sheet=U0&amp;row=4567&amp;col=6&amp;number=3.3&amp;sourceID=14","3.3")</f>
        <v>3.3</v>
      </c>
      <c r="G4567" s="4" t="str">
        <f>HYPERLINK("http://141.218.60.56/~jnz1568/getInfo.php?workbook=14_06.xlsx&amp;sheet=U0&amp;row=4567&amp;col=7&amp;number=2.4e-06&amp;sourceID=14","2.4e-06")</f>
        <v>2.4e-06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HYPERLINK("http://141.218.60.56/~jnz1568/getInfo.php?workbook=14_06.xlsx&amp;sheet=U0&amp;row=4568&amp;col=6&amp;number=3.4&amp;sourceID=14","3.4")</f>
        <v>3.4</v>
      </c>
      <c r="G4568" s="4" t="str">
        <f>HYPERLINK("http://141.218.60.56/~jnz1568/getInfo.php?workbook=14_06.xlsx&amp;sheet=U0&amp;row=4568&amp;col=7&amp;number=2.4e-06&amp;sourceID=14","2.4e-06")</f>
        <v>2.4e-06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HYPERLINK("http://141.218.60.56/~jnz1568/getInfo.php?workbook=14_06.xlsx&amp;sheet=U0&amp;row=4569&amp;col=6&amp;number=3.5&amp;sourceID=14","3.5")</f>
        <v>3.5</v>
      </c>
      <c r="G4569" s="4" t="str">
        <f>HYPERLINK("http://141.218.60.56/~jnz1568/getInfo.php?workbook=14_06.xlsx&amp;sheet=U0&amp;row=4569&amp;col=7&amp;number=2.39e-06&amp;sourceID=14","2.39e-06")</f>
        <v>2.39e-06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HYPERLINK("http://141.218.60.56/~jnz1568/getInfo.php?workbook=14_06.xlsx&amp;sheet=U0&amp;row=4570&amp;col=6&amp;number=3.6&amp;sourceID=14","3.6")</f>
        <v>3.6</v>
      </c>
      <c r="G4570" s="4" t="str">
        <f>HYPERLINK("http://141.218.60.56/~jnz1568/getInfo.php?workbook=14_06.xlsx&amp;sheet=U0&amp;row=4570&amp;col=7&amp;number=2.39e-06&amp;sourceID=14","2.39e-06")</f>
        <v>2.39e-06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HYPERLINK("http://141.218.60.56/~jnz1568/getInfo.php?workbook=14_06.xlsx&amp;sheet=U0&amp;row=4571&amp;col=6&amp;number=3.7&amp;sourceID=14","3.7")</f>
        <v>3.7</v>
      </c>
      <c r="G4571" s="4" t="str">
        <f>HYPERLINK("http://141.218.60.56/~jnz1568/getInfo.php?workbook=14_06.xlsx&amp;sheet=U0&amp;row=4571&amp;col=7&amp;number=2.39e-06&amp;sourceID=14","2.39e-06")</f>
        <v>2.39e-06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HYPERLINK("http://141.218.60.56/~jnz1568/getInfo.php?workbook=14_06.xlsx&amp;sheet=U0&amp;row=4572&amp;col=6&amp;number=3.8&amp;sourceID=14","3.8")</f>
        <v>3.8</v>
      </c>
      <c r="G4572" s="4" t="str">
        <f>HYPERLINK("http://141.218.60.56/~jnz1568/getInfo.php?workbook=14_06.xlsx&amp;sheet=U0&amp;row=4572&amp;col=7&amp;number=2.39e-06&amp;sourceID=14","2.39e-06")</f>
        <v>2.39e-06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HYPERLINK("http://141.218.60.56/~jnz1568/getInfo.php?workbook=14_06.xlsx&amp;sheet=U0&amp;row=4573&amp;col=6&amp;number=3.9&amp;sourceID=14","3.9")</f>
        <v>3.9</v>
      </c>
      <c r="G4573" s="4" t="str">
        <f>HYPERLINK("http://141.218.60.56/~jnz1568/getInfo.php?workbook=14_06.xlsx&amp;sheet=U0&amp;row=4573&amp;col=7&amp;number=2.39e-06&amp;sourceID=14","2.39e-06")</f>
        <v>2.39e-06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HYPERLINK("http://141.218.60.56/~jnz1568/getInfo.php?workbook=14_06.xlsx&amp;sheet=U0&amp;row=4574&amp;col=6&amp;number=4&amp;sourceID=14","4")</f>
        <v>4</v>
      </c>
      <c r="G4574" s="4" t="str">
        <f>HYPERLINK("http://141.218.60.56/~jnz1568/getInfo.php?workbook=14_06.xlsx&amp;sheet=U0&amp;row=4574&amp;col=7&amp;number=2.39e-06&amp;sourceID=14","2.39e-06")</f>
        <v>2.39e-06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HYPERLINK("http://141.218.60.56/~jnz1568/getInfo.php?workbook=14_06.xlsx&amp;sheet=U0&amp;row=4575&amp;col=6&amp;number=4.1&amp;sourceID=14","4.1")</f>
        <v>4.1</v>
      </c>
      <c r="G4575" s="4" t="str">
        <f>HYPERLINK("http://141.218.60.56/~jnz1568/getInfo.php?workbook=14_06.xlsx&amp;sheet=U0&amp;row=4575&amp;col=7&amp;number=2.39e-06&amp;sourceID=14","2.39e-06")</f>
        <v>2.39e-06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HYPERLINK("http://141.218.60.56/~jnz1568/getInfo.php?workbook=14_06.xlsx&amp;sheet=U0&amp;row=4576&amp;col=6&amp;number=4.2&amp;sourceID=14","4.2")</f>
        <v>4.2</v>
      </c>
      <c r="G4576" s="4" t="str">
        <f>HYPERLINK("http://141.218.60.56/~jnz1568/getInfo.php?workbook=14_06.xlsx&amp;sheet=U0&amp;row=4576&amp;col=7&amp;number=2.38e-06&amp;sourceID=14","2.38e-06")</f>
        <v>2.38e-06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HYPERLINK("http://141.218.60.56/~jnz1568/getInfo.php?workbook=14_06.xlsx&amp;sheet=U0&amp;row=4577&amp;col=6&amp;number=4.3&amp;sourceID=14","4.3")</f>
        <v>4.3</v>
      </c>
      <c r="G4577" s="4" t="str">
        <f>HYPERLINK("http://141.218.60.56/~jnz1568/getInfo.php?workbook=14_06.xlsx&amp;sheet=U0&amp;row=4577&amp;col=7&amp;number=2.38e-06&amp;sourceID=14","2.38e-06")</f>
        <v>2.38e-06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HYPERLINK("http://141.218.60.56/~jnz1568/getInfo.php?workbook=14_06.xlsx&amp;sheet=U0&amp;row=4578&amp;col=6&amp;number=4.4&amp;sourceID=14","4.4")</f>
        <v>4.4</v>
      </c>
      <c r="G4578" s="4" t="str">
        <f>HYPERLINK("http://141.218.60.56/~jnz1568/getInfo.php?workbook=14_06.xlsx&amp;sheet=U0&amp;row=4578&amp;col=7&amp;number=2.38e-06&amp;sourceID=14","2.38e-06")</f>
        <v>2.38e-06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HYPERLINK("http://141.218.60.56/~jnz1568/getInfo.php?workbook=14_06.xlsx&amp;sheet=U0&amp;row=4579&amp;col=6&amp;number=4.5&amp;sourceID=14","4.5")</f>
        <v>4.5</v>
      </c>
      <c r="G4579" s="4" t="str">
        <f>HYPERLINK("http://141.218.60.56/~jnz1568/getInfo.php?workbook=14_06.xlsx&amp;sheet=U0&amp;row=4579&amp;col=7&amp;number=2.37e-06&amp;sourceID=14","2.37e-06")</f>
        <v>2.37e-06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HYPERLINK("http://141.218.60.56/~jnz1568/getInfo.php?workbook=14_06.xlsx&amp;sheet=U0&amp;row=4580&amp;col=6&amp;number=4.6&amp;sourceID=14","4.6")</f>
        <v>4.6</v>
      </c>
      <c r="G4580" s="4" t="str">
        <f>HYPERLINK("http://141.218.60.56/~jnz1568/getInfo.php?workbook=14_06.xlsx&amp;sheet=U0&amp;row=4580&amp;col=7&amp;number=2.37e-06&amp;sourceID=14","2.37e-06")</f>
        <v>2.37e-06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HYPERLINK("http://141.218.60.56/~jnz1568/getInfo.php?workbook=14_06.xlsx&amp;sheet=U0&amp;row=4581&amp;col=6&amp;number=4.7&amp;sourceID=14","4.7")</f>
        <v>4.7</v>
      </c>
      <c r="G4581" s="4" t="str">
        <f>HYPERLINK("http://141.218.60.56/~jnz1568/getInfo.php?workbook=14_06.xlsx&amp;sheet=U0&amp;row=4581&amp;col=7&amp;number=2.36e-06&amp;sourceID=14","2.36e-06")</f>
        <v>2.36e-06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HYPERLINK("http://141.218.60.56/~jnz1568/getInfo.php?workbook=14_06.xlsx&amp;sheet=U0&amp;row=4582&amp;col=6&amp;number=4.8&amp;sourceID=14","4.8")</f>
        <v>4.8</v>
      </c>
      <c r="G4582" s="4" t="str">
        <f>HYPERLINK("http://141.218.60.56/~jnz1568/getInfo.php?workbook=14_06.xlsx&amp;sheet=U0&amp;row=4582&amp;col=7&amp;number=2.35e-06&amp;sourceID=14","2.35e-06")</f>
        <v>2.35e-06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HYPERLINK("http://141.218.60.56/~jnz1568/getInfo.php?workbook=14_06.xlsx&amp;sheet=U0&amp;row=4583&amp;col=6&amp;number=4.9&amp;sourceID=14","4.9")</f>
        <v>4.9</v>
      </c>
      <c r="G4583" s="4" t="str">
        <f>HYPERLINK("http://141.218.60.56/~jnz1568/getInfo.php?workbook=14_06.xlsx&amp;sheet=U0&amp;row=4583&amp;col=7&amp;number=2.34e-06&amp;sourceID=14","2.34e-06")</f>
        <v>2.34e-06</v>
      </c>
    </row>
    <row r="4584" spans="1:7">
      <c r="A4584" s="3">
        <v>14</v>
      </c>
      <c r="B4584" s="3">
        <v>6</v>
      </c>
      <c r="C4584" s="3">
        <v>6</v>
      </c>
      <c r="D4584" s="3">
        <v>21</v>
      </c>
      <c r="E4584" s="3">
        <v>1</v>
      </c>
      <c r="F4584" s="4" t="str">
        <f>HYPERLINK("http://141.218.60.56/~jnz1568/getInfo.php?workbook=14_06.xlsx&amp;sheet=U0&amp;row=4584&amp;col=6&amp;number=3&amp;sourceID=14","3")</f>
        <v>3</v>
      </c>
      <c r="G4584" s="4" t="str">
        <f>HYPERLINK("http://141.218.60.56/~jnz1568/getInfo.php?workbook=14_06.xlsx&amp;sheet=U0&amp;row=4584&amp;col=7&amp;number=1.08e-05&amp;sourceID=14","1.08e-05")</f>
        <v>1.08e-05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HYPERLINK("http://141.218.60.56/~jnz1568/getInfo.php?workbook=14_06.xlsx&amp;sheet=U0&amp;row=4585&amp;col=6&amp;number=3.1&amp;sourceID=14","3.1")</f>
        <v>3.1</v>
      </c>
      <c r="G4585" s="4" t="str">
        <f>HYPERLINK("http://141.218.60.56/~jnz1568/getInfo.php?workbook=14_06.xlsx&amp;sheet=U0&amp;row=4585&amp;col=7&amp;number=1.08e-05&amp;sourceID=14","1.08e-05")</f>
        <v>1.08e-05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HYPERLINK("http://141.218.60.56/~jnz1568/getInfo.php?workbook=14_06.xlsx&amp;sheet=U0&amp;row=4586&amp;col=6&amp;number=3.2&amp;sourceID=14","3.2")</f>
        <v>3.2</v>
      </c>
      <c r="G4586" s="4" t="str">
        <f>HYPERLINK("http://141.218.60.56/~jnz1568/getInfo.php?workbook=14_06.xlsx&amp;sheet=U0&amp;row=4586&amp;col=7&amp;number=1.08e-05&amp;sourceID=14","1.08e-05")</f>
        <v>1.08e-05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HYPERLINK("http://141.218.60.56/~jnz1568/getInfo.php?workbook=14_06.xlsx&amp;sheet=U0&amp;row=4587&amp;col=6&amp;number=3.3&amp;sourceID=14","3.3")</f>
        <v>3.3</v>
      </c>
      <c r="G4587" s="4" t="str">
        <f>HYPERLINK("http://141.218.60.56/~jnz1568/getInfo.php?workbook=14_06.xlsx&amp;sheet=U0&amp;row=4587&amp;col=7&amp;number=1.08e-05&amp;sourceID=14","1.08e-05")</f>
        <v>1.08e-05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HYPERLINK("http://141.218.60.56/~jnz1568/getInfo.php?workbook=14_06.xlsx&amp;sheet=U0&amp;row=4588&amp;col=6&amp;number=3.4&amp;sourceID=14","3.4")</f>
        <v>3.4</v>
      </c>
      <c r="G4588" s="4" t="str">
        <f>HYPERLINK("http://141.218.60.56/~jnz1568/getInfo.php?workbook=14_06.xlsx&amp;sheet=U0&amp;row=4588&amp;col=7&amp;number=1.08e-05&amp;sourceID=14","1.08e-05")</f>
        <v>1.08e-05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HYPERLINK("http://141.218.60.56/~jnz1568/getInfo.php?workbook=14_06.xlsx&amp;sheet=U0&amp;row=4589&amp;col=6&amp;number=3.5&amp;sourceID=14","3.5")</f>
        <v>3.5</v>
      </c>
      <c r="G4589" s="4" t="str">
        <f>HYPERLINK("http://141.218.60.56/~jnz1568/getInfo.php?workbook=14_06.xlsx&amp;sheet=U0&amp;row=4589&amp;col=7&amp;number=1.08e-05&amp;sourceID=14","1.08e-05")</f>
        <v>1.08e-05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HYPERLINK("http://141.218.60.56/~jnz1568/getInfo.php?workbook=14_06.xlsx&amp;sheet=U0&amp;row=4590&amp;col=6&amp;number=3.6&amp;sourceID=14","3.6")</f>
        <v>3.6</v>
      </c>
      <c r="G4590" s="4" t="str">
        <f>HYPERLINK("http://141.218.60.56/~jnz1568/getInfo.php?workbook=14_06.xlsx&amp;sheet=U0&amp;row=4590&amp;col=7&amp;number=1.08e-05&amp;sourceID=14","1.08e-05")</f>
        <v>1.08e-05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HYPERLINK("http://141.218.60.56/~jnz1568/getInfo.php?workbook=14_06.xlsx&amp;sheet=U0&amp;row=4591&amp;col=6&amp;number=3.7&amp;sourceID=14","3.7")</f>
        <v>3.7</v>
      </c>
      <c r="G4591" s="4" t="str">
        <f>HYPERLINK("http://141.218.60.56/~jnz1568/getInfo.php?workbook=14_06.xlsx&amp;sheet=U0&amp;row=4591&amp;col=7&amp;number=1.08e-05&amp;sourceID=14","1.08e-05")</f>
        <v>1.08e-05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HYPERLINK("http://141.218.60.56/~jnz1568/getInfo.php?workbook=14_06.xlsx&amp;sheet=U0&amp;row=4592&amp;col=6&amp;number=3.8&amp;sourceID=14","3.8")</f>
        <v>3.8</v>
      </c>
      <c r="G4592" s="4" t="str">
        <f>HYPERLINK("http://141.218.60.56/~jnz1568/getInfo.php?workbook=14_06.xlsx&amp;sheet=U0&amp;row=4592&amp;col=7&amp;number=1.08e-05&amp;sourceID=14","1.08e-05")</f>
        <v>1.08e-05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HYPERLINK("http://141.218.60.56/~jnz1568/getInfo.php?workbook=14_06.xlsx&amp;sheet=U0&amp;row=4593&amp;col=6&amp;number=3.9&amp;sourceID=14","3.9")</f>
        <v>3.9</v>
      </c>
      <c r="G4593" s="4" t="str">
        <f>HYPERLINK("http://141.218.60.56/~jnz1568/getInfo.php?workbook=14_06.xlsx&amp;sheet=U0&amp;row=4593&amp;col=7&amp;number=1.08e-05&amp;sourceID=14","1.08e-05")</f>
        <v>1.08e-05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HYPERLINK("http://141.218.60.56/~jnz1568/getInfo.php?workbook=14_06.xlsx&amp;sheet=U0&amp;row=4594&amp;col=6&amp;number=4&amp;sourceID=14","4")</f>
        <v>4</v>
      </c>
      <c r="G4594" s="4" t="str">
        <f>HYPERLINK("http://141.218.60.56/~jnz1568/getInfo.php?workbook=14_06.xlsx&amp;sheet=U0&amp;row=4594&amp;col=7&amp;number=1.08e-05&amp;sourceID=14","1.08e-05")</f>
        <v>1.08e-05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HYPERLINK("http://141.218.60.56/~jnz1568/getInfo.php?workbook=14_06.xlsx&amp;sheet=U0&amp;row=4595&amp;col=6&amp;number=4.1&amp;sourceID=14","4.1")</f>
        <v>4.1</v>
      </c>
      <c r="G4595" s="4" t="str">
        <f>HYPERLINK("http://141.218.60.56/~jnz1568/getInfo.php?workbook=14_06.xlsx&amp;sheet=U0&amp;row=4595&amp;col=7&amp;number=1.08e-05&amp;sourceID=14","1.08e-05")</f>
        <v>1.08e-05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HYPERLINK("http://141.218.60.56/~jnz1568/getInfo.php?workbook=14_06.xlsx&amp;sheet=U0&amp;row=4596&amp;col=6&amp;number=4.2&amp;sourceID=14","4.2")</f>
        <v>4.2</v>
      </c>
      <c r="G4596" s="4" t="str">
        <f>HYPERLINK("http://141.218.60.56/~jnz1568/getInfo.php?workbook=14_06.xlsx&amp;sheet=U0&amp;row=4596&amp;col=7&amp;number=1.08e-05&amp;sourceID=14","1.08e-05")</f>
        <v>1.08e-05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HYPERLINK("http://141.218.60.56/~jnz1568/getInfo.php?workbook=14_06.xlsx&amp;sheet=U0&amp;row=4597&amp;col=6&amp;number=4.3&amp;sourceID=14","4.3")</f>
        <v>4.3</v>
      </c>
      <c r="G4597" s="4" t="str">
        <f>HYPERLINK("http://141.218.60.56/~jnz1568/getInfo.php?workbook=14_06.xlsx&amp;sheet=U0&amp;row=4597&amp;col=7&amp;number=1.07e-05&amp;sourceID=14","1.07e-05")</f>
        <v>1.07e-05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HYPERLINK("http://141.218.60.56/~jnz1568/getInfo.php?workbook=14_06.xlsx&amp;sheet=U0&amp;row=4598&amp;col=6&amp;number=4.4&amp;sourceID=14","4.4")</f>
        <v>4.4</v>
      </c>
      <c r="G4598" s="4" t="str">
        <f>HYPERLINK("http://141.218.60.56/~jnz1568/getInfo.php?workbook=14_06.xlsx&amp;sheet=U0&amp;row=4598&amp;col=7&amp;number=1.07e-05&amp;sourceID=14","1.07e-05")</f>
        <v>1.07e-05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HYPERLINK("http://141.218.60.56/~jnz1568/getInfo.php?workbook=14_06.xlsx&amp;sheet=U0&amp;row=4599&amp;col=6&amp;number=4.5&amp;sourceID=14","4.5")</f>
        <v>4.5</v>
      </c>
      <c r="G4599" s="4" t="str">
        <f>HYPERLINK("http://141.218.60.56/~jnz1568/getInfo.php?workbook=14_06.xlsx&amp;sheet=U0&amp;row=4599&amp;col=7&amp;number=1.07e-05&amp;sourceID=14","1.07e-05")</f>
        <v>1.07e-05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HYPERLINK("http://141.218.60.56/~jnz1568/getInfo.php?workbook=14_06.xlsx&amp;sheet=U0&amp;row=4600&amp;col=6&amp;number=4.6&amp;sourceID=14","4.6")</f>
        <v>4.6</v>
      </c>
      <c r="G4600" s="4" t="str">
        <f>HYPERLINK("http://141.218.60.56/~jnz1568/getInfo.php?workbook=14_06.xlsx&amp;sheet=U0&amp;row=4600&amp;col=7&amp;number=1.07e-05&amp;sourceID=14","1.07e-05")</f>
        <v>1.07e-05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HYPERLINK("http://141.218.60.56/~jnz1568/getInfo.php?workbook=14_06.xlsx&amp;sheet=U0&amp;row=4601&amp;col=6&amp;number=4.7&amp;sourceID=14","4.7")</f>
        <v>4.7</v>
      </c>
      <c r="G4601" s="4" t="str">
        <f>HYPERLINK("http://141.218.60.56/~jnz1568/getInfo.php?workbook=14_06.xlsx&amp;sheet=U0&amp;row=4601&amp;col=7&amp;number=1.06e-05&amp;sourceID=14","1.06e-05")</f>
        <v>1.06e-05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HYPERLINK("http://141.218.60.56/~jnz1568/getInfo.php?workbook=14_06.xlsx&amp;sheet=U0&amp;row=4602&amp;col=6&amp;number=4.8&amp;sourceID=14","4.8")</f>
        <v>4.8</v>
      </c>
      <c r="G4602" s="4" t="str">
        <f>HYPERLINK("http://141.218.60.56/~jnz1568/getInfo.php?workbook=14_06.xlsx&amp;sheet=U0&amp;row=4602&amp;col=7&amp;number=1.06e-05&amp;sourceID=14","1.06e-05")</f>
        <v>1.06e-05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HYPERLINK("http://141.218.60.56/~jnz1568/getInfo.php?workbook=14_06.xlsx&amp;sheet=U0&amp;row=4603&amp;col=6&amp;number=4.9&amp;sourceID=14","4.9")</f>
        <v>4.9</v>
      </c>
      <c r="G4603" s="4" t="str">
        <f>HYPERLINK("http://141.218.60.56/~jnz1568/getInfo.php?workbook=14_06.xlsx&amp;sheet=U0&amp;row=4603&amp;col=7&amp;number=1.05e-05&amp;sourceID=14","1.05e-05")</f>
        <v>1.05e-05</v>
      </c>
    </row>
    <row r="4604" spans="1:7">
      <c r="A4604" s="3">
        <v>14</v>
      </c>
      <c r="B4604" s="3">
        <v>6</v>
      </c>
      <c r="C4604" s="3">
        <v>6</v>
      </c>
      <c r="D4604" s="3">
        <v>22</v>
      </c>
      <c r="E4604" s="3">
        <v>1</v>
      </c>
      <c r="F4604" s="4" t="str">
        <f>HYPERLINK("http://141.218.60.56/~jnz1568/getInfo.php?workbook=14_06.xlsx&amp;sheet=U0&amp;row=4604&amp;col=6&amp;number=3&amp;sourceID=14","3")</f>
        <v>3</v>
      </c>
      <c r="G4604" s="4" t="str">
        <f>HYPERLINK("http://141.218.60.56/~jnz1568/getInfo.php?workbook=14_06.xlsx&amp;sheet=U0&amp;row=4604&amp;col=7&amp;number=3.17e-05&amp;sourceID=14","3.17e-05")</f>
        <v>3.17e-05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HYPERLINK("http://141.218.60.56/~jnz1568/getInfo.php?workbook=14_06.xlsx&amp;sheet=U0&amp;row=4605&amp;col=6&amp;number=3.1&amp;sourceID=14","3.1")</f>
        <v>3.1</v>
      </c>
      <c r="G4605" s="4" t="str">
        <f>HYPERLINK("http://141.218.60.56/~jnz1568/getInfo.php?workbook=14_06.xlsx&amp;sheet=U0&amp;row=4605&amp;col=7&amp;number=3.17e-05&amp;sourceID=14","3.17e-05")</f>
        <v>3.17e-05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HYPERLINK("http://141.218.60.56/~jnz1568/getInfo.php?workbook=14_06.xlsx&amp;sheet=U0&amp;row=4606&amp;col=6&amp;number=3.2&amp;sourceID=14","3.2")</f>
        <v>3.2</v>
      </c>
      <c r="G4606" s="4" t="str">
        <f>HYPERLINK("http://141.218.60.56/~jnz1568/getInfo.php?workbook=14_06.xlsx&amp;sheet=U0&amp;row=4606&amp;col=7&amp;number=3.17e-05&amp;sourceID=14","3.17e-05")</f>
        <v>3.17e-05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HYPERLINK("http://141.218.60.56/~jnz1568/getInfo.php?workbook=14_06.xlsx&amp;sheet=U0&amp;row=4607&amp;col=6&amp;number=3.3&amp;sourceID=14","3.3")</f>
        <v>3.3</v>
      </c>
      <c r="G4607" s="4" t="str">
        <f>HYPERLINK("http://141.218.60.56/~jnz1568/getInfo.php?workbook=14_06.xlsx&amp;sheet=U0&amp;row=4607&amp;col=7&amp;number=3.17e-05&amp;sourceID=14","3.17e-05")</f>
        <v>3.17e-05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HYPERLINK("http://141.218.60.56/~jnz1568/getInfo.php?workbook=14_06.xlsx&amp;sheet=U0&amp;row=4608&amp;col=6&amp;number=3.4&amp;sourceID=14","3.4")</f>
        <v>3.4</v>
      </c>
      <c r="G4608" s="4" t="str">
        <f>HYPERLINK("http://141.218.60.56/~jnz1568/getInfo.php?workbook=14_06.xlsx&amp;sheet=U0&amp;row=4608&amp;col=7&amp;number=3.17e-05&amp;sourceID=14","3.17e-05")</f>
        <v>3.17e-05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HYPERLINK("http://141.218.60.56/~jnz1568/getInfo.php?workbook=14_06.xlsx&amp;sheet=U0&amp;row=4609&amp;col=6&amp;number=3.5&amp;sourceID=14","3.5")</f>
        <v>3.5</v>
      </c>
      <c r="G4609" s="4" t="str">
        <f>HYPERLINK("http://141.218.60.56/~jnz1568/getInfo.php?workbook=14_06.xlsx&amp;sheet=U0&amp;row=4609&amp;col=7&amp;number=3.17e-05&amp;sourceID=14","3.17e-05")</f>
        <v>3.17e-05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HYPERLINK("http://141.218.60.56/~jnz1568/getInfo.php?workbook=14_06.xlsx&amp;sheet=U0&amp;row=4610&amp;col=6&amp;number=3.6&amp;sourceID=14","3.6")</f>
        <v>3.6</v>
      </c>
      <c r="G4610" s="4" t="str">
        <f>HYPERLINK("http://141.218.60.56/~jnz1568/getInfo.php?workbook=14_06.xlsx&amp;sheet=U0&amp;row=4610&amp;col=7&amp;number=3.17e-05&amp;sourceID=14","3.17e-05")</f>
        <v>3.17e-05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HYPERLINK("http://141.218.60.56/~jnz1568/getInfo.php?workbook=14_06.xlsx&amp;sheet=U0&amp;row=4611&amp;col=6&amp;number=3.7&amp;sourceID=14","3.7")</f>
        <v>3.7</v>
      </c>
      <c r="G4611" s="4" t="str">
        <f>HYPERLINK("http://141.218.60.56/~jnz1568/getInfo.php?workbook=14_06.xlsx&amp;sheet=U0&amp;row=4611&amp;col=7&amp;number=3.17e-05&amp;sourceID=14","3.17e-05")</f>
        <v>3.17e-05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HYPERLINK("http://141.218.60.56/~jnz1568/getInfo.php?workbook=14_06.xlsx&amp;sheet=U0&amp;row=4612&amp;col=6&amp;number=3.8&amp;sourceID=14","3.8")</f>
        <v>3.8</v>
      </c>
      <c r="G4612" s="4" t="str">
        <f>HYPERLINK("http://141.218.60.56/~jnz1568/getInfo.php?workbook=14_06.xlsx&amp;sheet=U0&amp;row=4612&amp;col=7&amp;number=3.17e-05&amp;sourceID=14","3.17e-05")</f>
        <v>3.17e-05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HYPERLINK("http://141.218.60.56/~jnz1568/getInfo.php?workbook=14_06.xlsx&amp;sheet=U0&amp;row=4613&amp;col=6&amp;number=3.9&amp;sourceID=14","3.9")</f>
        <v>3.9</v>
      </c>
      <c r="G4613" s="4" t="str">
        <f>HYPERLINK("http://141.218.60.56/~jnz1568/getInfo.php?workbook=14_06.xlsx&amp;sheet=U0&amp;row=4613&amp;col=7&amp;number=3.16e-05&amp;sourceID=14","3.16e-05")</f>
        <v>3.16e-05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HYPERLINK("http://141.218.60.56/~jnz1568/getInfo.php?workbook=14_06.xlsx&amp;sheet=U0&amp;row=4614&amp;col=6&amp;number=4&amp;sourceID=14","4")</f>
        <v>4</v>
      </c>
      <c r="G4614" s="4" t="str">
        <f>HYPERLINK("http://141.218.60.56/~jnz1568/getInfo.php?workbook=14_06.xlsx&amp;sheet=U0&amp;row=4614&amp;col=7&amp;number=3.16e-05&amp;sourceID=14","3.16e-05")</f>
        <v>3.16e-05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HYPERLINK("http://141.218.60.56/~jnz1568/getInfo.php?workbook=14_06.xlsx&amp;sheet=U0&amp;row=4615&amp;col=6&amp;number=4.1&amp;sourceID=14","4.1")</f>
        <v>4.1</v>
      </c>
      <c r="G4615" s="4" t="str">
        <f>HYPERLINK("http://141.218.60.56/~jnz1568/getInfo.php?workbook=14_06.xlsx&amp;sheet=U0&amp;row=4615&amp;col=7&amp;number=3.16e-05&amp;sourceID=14","3.16e-05")</f>
        <v>3.16e-05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HYPERLINK("http://141.218.60.56/~jnz1568/getInfo.php?workbook=14_06.xlsx&amp;sheet=U0&amp;row=4616&amp;col=6&amp;number=4.2&amp;sourceID=14","4.2")</f>
        <v>4.2</v>
      </c>
      <c r="G4616" s="4" t="str">
        <f>HYPERLINK("http://141.218.60.56/~jnz1568/getInfo.php?workbook=14_06.xlsx&amp;sheet=U0&amp;row=4616&amp;col=7&amp;number=3.15e-05&amp;sourceID=14","3.15e-05")</f>
        <v>3.15e-05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HYPERLINK("http://141.218.60.56/~jnz1568/getInfo.php?workbook=14_06.xlsx&amp;sheet=U0&amp;row=4617&amp;col=6&amp;number=4.3&amp;sourceID=14","4.3")</f>
        <v>4.3</v>
      </c>
      <c r="G4617" s="4" t="str">
        <f>HYPERLINK("http://141.218.60.56/~jnz1568/getInfo.php?workbook=14_06.xlsx&amp;sheet=U0&amp;row=4617&amp;col=7&amp;number=3.15e-05&amp;sourceID=14","3.15e-05")</f>
        <v>3.15e-05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HYPERLINK("http://141.218.60.56/~jnz1568/getInfo.php?workbook=14_06.xlsx&amp;sheet=U0&amp;row=4618&amp;col=6&amp;number=4.4&amp;sourceID=14","4.4")</f>
        <v>4.4</v>
      </c>
      <c r="G4618" s="4" t="str">
        <f>HYPERLINK("http://141.218.60.56/~jnz1568/getInfo.php?workbook=14_06.xlsx&amp;sheet=U0&amp;row=4618&amp;col=7&amp;number=3.14e-05&amp;sourceID=14","3.14e-05")</f>
        <v>3.14e-05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HYPERLINK("http://141.218.60.56/~jnz1568/getInfo.php?workbook=14_06.xlsx&amp;sheet=U0&amp;row=4619&amp;col=6&amp;number=4.5&amp;sourceID=14","4.5")</f>
        <v>4.5</v>
      </c>
      <c r="G4619" s="4" t="str">
        <f>HYPERLINK("http://141.218.60.56/~jnz1568/getInfo.php?workbook=14_06.xlsx&amp;sheet=U0&amp;row=4619&amp;col=7&amp;number=3.14e-05&amp;sourceID=14","3.14e-05")</f>
        <v>3.14e-05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HYPERLINK("http://141.218.60.56/~jnz1568/getInfo.php?workbook=14_06.xlsx&amp;sheet=U0&amp;row=4620&amp;col=6&amp;number=4.6&amp;sourceID=14","4.6")</f>
        <v>4.6</v>
      </c>
      <c r="G4620" s="4" t="str">
        <f>HYPERLINK("http://141.218.60.56/~jnz1568/getInfo.php?workbook=14_06.xlsx&amp;sheet=U0&amp;row=4620&amp;col=7&amp;number=3.13e-05&amp;sourceID=14","3.13e-05")</f>
        <v>3.13e-05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HYPERLINK("http://141.218.60.56/~jnz1568/getInfo.php?workbook=14_06.xlsx&amp;sheet=U0&amp;row=4621&amp;col=6&amp;number=4.7&amp;sourceID=14","4.7")</f>
        <v>4.7</v>
      </c>
      <c r="G4621" s="4" t="str">
        <f>HYPERLINK("http://141.218.60.56/~jnz1568/getInfo.php?workbook=14_06.xlsx&amp;sheet=U0&amp;row=4621&amp;col=7&amp;number=3.11e-05&amp;sourceID=14","3.11e-05")</f>
        <v>3.11e-05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HYPERLINK("http://141.218.60.56/~jnz1568/getInfo.php?workbook=14_06.xlsx&amp;sheet=U0&amp;row=4622&amp;col=6&amp;number=4.8&amp;sourceID=14","4.8")</f>
        <v>4.8</v>
      </c>
      <c r="G4622" s="4" t="str">
        <f>HYPERLINK("http://141.218.60.56/~jnz1568/getInfo.php?workbook=14_06.xlsx&amp;sheet=U0&amp;row=4622&amp;col=7&amp;number=3.1e-05&amp;sourceID=14","3.1e-05")</f>
        <v>3.1e-05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HYPERLINK("http://141.218.60.56/~jnz1568/getInfo.php?workbook=14_06.xlsx&amp;sheet=U0&amp;row=4623&amp;col=6&amp;number=4.9&amp;sourceID=14","4.9")</f>
        <v>4.9</v>
      </c>
      <c r="G4623" s="4" t="str">
        <f>HYPERLINK("http://141.218.60.56/~jnz1568/getInfo.php?workbook=14_06.xlsx&amp;sheet=U0&amp;row=4623&amp;col=7&amp;number=3.08e-05&amp;sourceID=14","3.08e-05")</f>
        <v>3.08e-05</v>
      </c>
    </row>
    <row r="4624" spans="1:7">
      <c r="A4624" s="3">
        <v>14</v>
      </c>
      <c r="B4624" s="3">
        <v>6</v>
      </c>
      <c r="C4624" s="3">
        <v>6</v>
      </c>
      <c r="D4624" s="3">
        <v>23</v>
      </c>
      <c r="E4624" s="3">
        <v>1</v>
      </c>
      <c r="F4624" s="4" t="str">
        <f>HYPERLINK("http://141.218.60.56/~jnz1568/getInfo.php?workbook=14_06.xlsx&amp;sheet=U0&amp;row=4624&amp;col=6&amp;number=3&amp;sourceID=14","3")</f>
        <v>3</v>
      </c>
      <c r="G4624" s="4" t="str">
        <f>HYPERLINK("http://141.218.60.56/~jnz1568/getInfo.php?workbook=14_06.xlsx&amp;sheet=U0&amp;row=4624&amp;col=7&amp;number=5.13e-05&amp;sourceID=14","5.13e-05")</f>
        <v>5.13e-05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HYPERLINK("http://141.218.60.56/~jnz1568/getInfo.php?workbook=14_06.xlsx&amp;sheet=U0&amp;row=4625&amp;col=6&amp;number=3.1&amp;sourceID=14","3.1")</f>
        <v>3.1</v>
      </c>
      <c r="G4625" s="4" t="str">
        <f>HYPERLINK("http://141.218.60.56/~jnz1568/getInfo.php?workbook=14_06.xlsx&amp;sheet=U0&amp;row=4625&amp;col=7&amp;number=5.13e-05&amp;sourceID=14","5.13e-05")</f>
        <v>5.13e-05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HYPERLINK("http://141.218.60.56/~jnz1568/getInfo.php?workbook=14_06.xlsx&amp;sheet=U0&amp;row=4626&amp;col=6&amp;number=3.2&amp;sourceID=14","3.2")</f>
        <v>3.2</v>
      </c>
      <c r="G4626" s="4" t="str">
        <f>HYPERLINK("http://141.218.60.56/~jnz1568/getInfo.php?workbook=14_06.xlsx&amp;sheet=U0&amp;row=4626&amp;col=7&amp;number=5.13e-05&amp;sourceID=14","5.13e-05")</f>
        <v>5.13e-05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HYPERLINK("http://141.218.60.56/~jnz1568/getInfo.php?workbook=14_06.xlsx&amp;sheet=U0&amp;row=4627&amp;col=6&amp;number=3.3&amp;sourceID=14","3.3")</f>
        <v>3.3</v>
      </c>
      <c r="G4627" s="4" t="str">
        <f>HYPERLINK("http://141.218.60.56/~jnz1568/getInfo.php?workbook=14_06.xlsx&amp;sheet=U0&amp;row=4627&amp;col=7&amp;number=5.13e-05&amp;sourceID=14","5.13e-05")</f>
        <v>5.13e-05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HYPERLINK("http://141.218.60.56/~jnz1568/getInfo.php?workbook=14_06.xlsx&amp;sheet=U0&amp;row=4628&amp;col=6&amp;number=3.4&amp;sourceID=14","3.4")</f>
        <v>3.4</v>
      </c>
      <c r="G4628" s="4" t="str">
        <f>HYPERLINK("http://141.218.60.56/~jnz1568/getInfo.php?workbook=14_06.xlsx&amp;sheet=U0&amp;row=4628&amp;col=7&amp;number=5.13e-05&amp;sourceID=14","5.13e-05")</f>
        <v>5.13e-05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HYPERLINK("http://141.218.60.56/~jnz1568/getInfo.php?workbook=14_06.xlsx&amp;sheet=U0&amp;row=4629&amp;col=6&amp;number=3.5&amp;sourceID=14","3.5")</f>
        <v>3.5</v>
      </c>
      <c r="G4629" s="4" t="str">
        <f>HYPERLINK("http://141.218.60.56/~jnz1568/getInfo.php?workbook=14_06.xlsx&amp;sheet=U0&amp;row=4629&amp;col=7&amp;number=5.12e-05&amp;sourceID=14","5.12e-05")</f>
        <v>5.12e-05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HYPERLINK("http://141.218.60.56/~jnz1568/getInfo.php?workbook=14_06.xlsx&amp;sheet=U0&amp;row=4630&amp;col=6&amp;number=3.6&amp;sourceID=14","3.6")</f>
        <v>3.6</v>
      </c>
      <c r="G4630" s="4" t="str">
        <f>HYPERLINK("http://141.218.60.56/~jnz1568/getInfo.php?workbook=14_06.xlsx&amp;sheet=U0&amp;row=4630&amp;col=7&amp;number=5.12e-05&amp;sourceID=14","5.12e-05")</f>
        <v>5.12e-05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HYPERLINK("http://141.218.60.56/~jnz1568/getInfo.php?workbook=14_06.xlsx&amp;sheet=U0&amp;row=4631&amp;col=6&amp;number=3.7&amp;sourceID=14","3.7")</f>
        <v>3.7</v>
      </c>
      <c r="G4631" s="4" t="str">
        <f>HYPERLINK("http://141.218.60.56/~jnz1568/getInfo.php?workbook=14_06.xlsx&amp;sheet=U0&amp;row=4631&amp;col=7&amp;number=5.12e-05&amp;sourceID=14","5.12e-05")</f>
        <v>5.12e-05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HYPERLINK("http://141.218.60.56/~jnz1568/getInfo.php?workbook=14_06.xlsx&amp;sheet=U0&amp;row=4632&amp;col=6&amp;number=3.8&amp;sourceID=14","3.8")</f>
        <v>3.8</v>
      </c>
      <c r="G4632" s="4" t="str">
        <f>HYPERLINK("http://141.218.60.56/~jnz1568/getInfo.php?workbook=14_06.xlsx&amp;sheet=U0&amp;row=4632&amp;col=7&amp;number=5.12e-05&amp;sourceID=14","5.12e-05")</f>
        <v>5.12e-05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HYPERLINK("http://141.218.60.56/~jnz1568/getInfo.php?workbook=14_06.xlsx&amp;sheet=U0&amp;row=4633&amp;col=6&amp;number=3.9&amp;sourceID=14","3.9")</f>
        <v>3.9</v>
      </c>
      <c r="G4633" s="4" t="str">
        <f>HYPERLINK("http://141.218.60.56/~jnz1568/getInfo.php?workbook=14_06.xlsx&amp;sheet=U0&amp;row=4633&amp;col=7&amp;number=5.11e-05&amp;sourceID=14","5.11e-05")</f>
        <v>5.11e-05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HYPERLINK("http://141.218.60.56/~jnz1568/getInfo.php?workbook=14_06.xlsx&amp;sheet=U0&amp;row=4634&amp;col=6&amp;number=4&amp;sourceID=14","4")</f>
        <v>4</v>
      </c>
      <c r="G4634" s="4" t="str">
        <f>HYPERLINK("http://141.218.60.56/~jnz1568/getInfo.php?workbook=14_06.xlsx&amp;sheet=U0&amp;row=4634&amp;col=7&amp;number=5.11e-05&amp;sourceID=14","5.11e-05")</f>
        <v>5.11e-05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HYPERLINK("http://141.218.60.56/~jnz1568/getInfo.php?workbook=14_06.xlsx&amp;sheet=U0&amp;row=4635&amp;col=6&amp;number=4.1&amp;sourceID=14","4.1")</f>
        <v>4.1</v>
      </c>
      <c r="G4635" s="4" t="str">
        <f>HYPERLINK("http://141.218.60.56/~jnz1568/getInfo.php?workbook=14_06.xlsx&amp;sheet=U0&amp;row=4635&amp;col=7&amp;number=5.11e-05&amp;sourceID=14","5.11e-05")</f>
        <v>5.11e-05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HYPERLINK("http://141.218.60.56/~jnz1568/getInfo.php?workbook=14_06.xlsx&amp;sheet=U0&amp;row=4636&amp;col=6&amp;number=4.2&amp;sourceID=14","4.2")</f>
        <v>4.2</v>
      </c>
      <c r="G4636" s="4" t="str">
        <f>HYPERLINK("http://141.218.60.56/~jnz1568/getInfo.php?workbook=14_06.xlsx&amp;sheet=U0&amp;row=4636&amp;col=7&amp;number=5.1e-05&amp;sourceID=14","5.1e-05")</f>
        <v>5.1e-05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HYPERLINK("http://141.218.60.56/~jnz1568/getInfo.php?workbook=14_06.xlsx&amp;sheet=U0&amp;row=4637&amp;col=6&amp;number=4.3&amp;sourceID=14","4.3")</f>
        <v>4.3</v>
      </c>
      <c r="G4637" s="4" t="str">
        <f>HYPERLINK("http://141.218.60.56/~jnz1568/getInfo.php?workbook=14_06.xlsx&amp;sheet=U0&amp;row=4637&amp;col=7&amp;number=5.09e-05&amp;sourceID=14","5.09e-05")</f>
        <v>5.09e-05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HYPERLINK("http://141.218.60.56/~jnz1568/getInfo.php?workbook=14_06.xlsx&amp;sheet=U0&amp;row=4638&amp;col=6&amp;number=4.4&amp;sourceID=14","4.4")</f>
        <v>4.4</v>
      </c>
      <c r="G4638" s="4" t="str">
        <f>HYPERLINK("http://141.218.60.56/~jnz1568/getInfo.php?workbook=14_06.xlsx&amp;sheet=U0&amp;row=4638&amp;col=7&amp;number=5.08e-05&amp;sourceID=14","5.08e-05")</f>
        <v>5.08e-05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HYPERLINK("http://141.218.60.56/~jnz1568/getInfo.php?workbook=14_06.xlsx&amp;sheet=U0&amp;row=4639&amp;col=6&amp;number=4.5&amp;sourceID=14","4.5")</f>
        <v>4.5</v>
      </c>
      <c r="G4639" s="4" t="str">
        <f>HYPERLINK("http://141.218.60.56/~jnz1568/getInfo.php?workbook=14_06.xlsx&amp;sheet=U0&amp;row=4639&amp;col=7&amp;number=5.07e-05&amp;sourceID=14","5.07e-05")</f>
        <v>5.07e-05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HYPERLINK("http://141.218.60.56/~jnz1568/getInfo.php?workbook=14_06.xlsx&amp;sheet=U0&amp;row=4640&amp;col=6&amp;number=4.6&amp;sourceID=14","4.6")</f>
        <v>4.6</v>
      </c>
      <c r="G4640" s="4" t="str">
        <f>HYPERLINK("http://141.218.60.56/~jnz1568/getInfo.php?workbook=14_06.xlsx&amp;sheet=U0&amp;row=4640&amp;col=7&amp;number=5.05e-05&amp;sourceID=14","5.05e-05")</f>
        <v>5.05e-05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HYPERLINK("http://141.218.60.56/~jnz1568/getInfo.php?workbook=14_06.xlsx&amp;sheet=U0&amp;row=4641&amp;col=6&amp;number=4.7&amp;sourceID=14","4.7")</f>
        <v>4.7</v>
      </c>
      <c r="G4641" s="4" t="str">
        <f>HYPERLINK("http://141.218.60.56/~jnz1568/getInfo.php?workbook=14_06.xlsx&amp;sheet=U0&amp;row=4641&amp;col=7&amp;number=5.03e-05&amp;sourceID=14","5.03e-05")</f>
        <v>5.03e-05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HYPERLINK("http://141.218.60.56/~jnz1568/getInfo.php?workbook=14_06.xlsx&amp;sheet=U0&amp;row=4642&amp;col=6&amp;number=4.8&amp;sourceID=14","4.8")</f>
        <v>4.8</v>
      </c>
      <c r="G4642" s="4" t="str">
        <f>HYPERLINK("http://141.218.60.56/~jnz1568/getInfo.php?workbook=14_06.xlsx&amp;sheet=U0&amp;row=4642&amp;col=7&amp;number=5.01e-05&amp;sourceID=14","5.01e-05")</f>
        <v>5.01e-05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HYPERLINK("http://141.218.60.56/~jnz1568/getInfo.php?workbook=14_06.xlsx&amp;sheet=U0&amp;row=4643&amp;col=6&amp;number=4.9&amp;sourceID=14","4.9")</f>
        <v>4.9</v>
      </c>
      <c r="G4643" s="4" t="str">
        <f>HYPERLINK("http://141.218.60.56/~jnz1568/getInfo.php?workbook=14_06.xlsx&amp;sheet=U0&amp;row=4643&amp;col=7&amp;number=4.98e-05&amp;sourceID=14","4.98e-05")</f>
        <v>4.98e-05</v>
      </c>
    </row>
    <row r="4644" spans="1:7">
      <c r="A4644" s="3">
        <v>14</v>
      </c>
      <c r="B4644" s="3">
        <v>6</v>
      </c>
      <c r="C4644" s="3">
        <v>6</v>
      </c>
      <c r="D4644" s="3">
        <v>24</v>
      </c>
      <c r="E4644" s="3">
        <v>1</v>
      </c>
      <c r="F4644" s="4" t="str">
        <f>HYPERLINK("http://141.218.60.56/~jnz1568/getInfo.php?workbook=14_06.xlsx&amp;sheet=U0&amp;row=4644&amp;col=6&amp;number=3&amp;sourceID=14","3")</f>
        <v>3</v>
      </c>
      <c r="G4644" s="4" t="str">
        <f>HYPERLINK("http://141.218.60.56/~jnz1568/getInfo.php?workbook=14_06.xlsx&amp;sheet=U0&amp;row=4644&amp;col=7&amp;number=1.65e-06&amp;sourceID=14","1.65e-06")</f>
        <v>1.65e-06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HYPERLINK("http://141.218.60.56/~jnz1568/getInfo.php?workbook=14_06.xlsx&amp;sheet=U0&amp;row=4645&amp;col=6&amp;number=3.1&amp;sourceID=14","3.1")</f>
        <v>3.1</v>
      </c>
      <c r="G4645" s="4" t="str">
        <f>HYPERLINK("http://141.218.60.56/~jnz1568/getInfo.php?workbook=14_06.xlsx&amp;sheet=U0&amp;row=4645&amp;col=7&amp;number=1.65e-06&amp;sourceID=14","1.65e-06")</f>
        <v>1.65e-06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HYPERLINK("http://141.218.60.56/~jnz1568/getInfo.php?workbook=14_06.xlsx&amp;sheet=U0&amp;row=4646&amp;col=6&amp;number=3.2&amp;sourceID=14","3.2")</f>
        <v>3.2</v>
      </c>
      <c r="G4646" s="4" t="str">
        <f>HYPERLINK("http://141.218.60.56/~jnz1568/getInfo.php?workbook=14_06.xlsx&amp;sheet=U0&amp;row=4646&amp;col=7&amp;number=1.65e-06&amp;sourceID=14","1.65e-06")</f>
        <v>1.65e-06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HYPERLINK("http://141.218.60.56/~jnz1568/getInfo.php?workbook=14_06.xlsx&amp;sheet=U0&amp;row=4647&amp;col=6&amp;number=3.3&amp;sourceID=14","3.3")</f>
        <v>3.3</v>
      </c>
      <c r="G4647" s="4" t="str">
        <f>HYPERLINK("http://141.218.60.56/~jnz1568/getInfo.php?workbook=14_06.xlsx&amp;sheet=U0&amp;row=4647&amp;col=7&amp;number=1.65e-06&amp;sourceID=14","1.65e-06")</f>
        <v>1.65e-06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HYPERLINK("http://141.218.60.56/~jnz1568/getInfo.php?workbook=14_06.xlsx&amp;sheet=U0&amp;row=4648&amp;col=6&amp;number=3.4&amp;sourceID=14","3.4")</f>
        <v>3.4</v>
      </c>
      <c r="G4648" s="4" t="str">
        <f>HYPERLINK("http://141.218.60.56/~jnz1568/getInfo.php?workbook=14_06.xlsx&amp;sheet=U0&amp;row=4648&amp;col=7&amp;number=1.65e-06&amp;sourceID=14","1.65e-06")</f>
        <v>1.65e-06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HYPERLINK("http://141.218.60.56/~jnz1568/getInfo.php?workbook=14_06.xlsx&amp;sheet=U0&amp;row=4649&amp;col=6&amp;number=3.5&amp;sourceID=14","3.5")</f>
        <v>3.5</v>
      </c>
      <c r="G4649" s="4" t="str">
        <f>HYPERLINK("http://141.218.60.56/~jnz1568/getInfo.php?workbook=14_06.xlsx&amp;sheet=U0&amp;row=4649&amp;col=7&amp;number=1.65e-06&amp;sourceID=14","1.65e-06")</f>
        <v>1.65e-06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HYPERLINK("http://141.218.60.56/~jnz1568/getInfo.php?workbook=14_06.xlsx&amp;sheet=U0&amp;row=4650&amp;col=6&amp;number=3.6&amp;sourceID=14","3.6")</f>
        <v>3.6</v>
      </c>
      <c r="G4650" s="4" t="str">
        <f>HYPERLINK("http://141.218.60.56/~jnz1568/getInfo.php?workbook=14_06.xlsx&amp;sheet=U0&amp;row=4650&amp;col=7&amp;number=1.65e-06&amp;sourceID=14","1.65e-06")</f>
        <v>1.65e-06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HYPERLINK("http://141.218.60.56/~jnz1568/getInfo.php?workbook=14_06.xlsx&amp;sheet=U0&amp;row=4651&amp;col=6&amp;number=3.7&amp;sourceID=14","3.7")</f>
        <v>3.7</v>
      </c>
      <c r="G4651" s="4" t="str">
        <f>HYPERLINK("http://141.218.60.56/~jnz1568/getInfo.php?workbook=14_06.xlsx&amp;sheet=U0&amp;row=4651&amp;col=7&amp;number=1.65e-06&amp;sourceID=14","1.65e-06")</f>
        <v>1.65e-06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HYPERLINK("http://141.218.60.56/~jnz1568/getInfo.php?workbook=14_06.xlsx&amp;sheet=U0&amp;row=4652&amp;col=6&amp;number=3.8&amp;sourceID=14","3.8")</f>
        <v>3.8</v>
      </c>
      <c r="G4652" s="4" t="str">
        <f>HYPERLINK("http://141.218.60.56/~jnz1568/getInfo.php?workbook=14_06.xlsx&amp;sheet=U0&amp;row=4652&amp;col=7&amp;number=1.65e-06&amp;sourceID=14","1.65e-06")</f>
        <v>1.65e-06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HYPERLINK("http://141.218.60.56/~jnz1568/getInfo.php?workbook=14_06.xlsx&amp;sheet=U0&amp;row=4653&amp;col=6&amp;number=3.9&amp;sourceID=14","3.9")</f>
        <v>3.9</v>
      </c>
      <c r="G4653" s="4" t="str">
        <f>HYPERLINK("http://141.218.60.56/~jnz1568/getInfo.php?workbook=14_06.xlsx&amp;sheet=U0&amp;row=4653&amp;col=7&amp;number=1.65e-06&amp;sourceID=14","1.65e-06")</f>
        <v>1.65e-06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HYPERLINK("http://141.218.60.56/~jnz1568/getInfo.php?workbook=14_06.xlsx&amp;sheet=U0&amp;row=4654&amp;col=6&amp;number=4&amp;sourceID=14","4")</f>
        <v>4</v>
      </c>
      <c r="G4654" s="4" t="str">
        <f>HYPERLINK("http://141.218.60.56/~jnz1568/getInfo.php?workbook=14_06.xlsx&amp;sheet=U0&amp;row=4654&amp;col=7&amp;number=1.64e-06&amp;sourceID=14","1.64e-06")</f>
        <v>1.64e-06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HYPERLINK("http://141.218.60.56/~jnz1568/getInfo.php?workbook=14_06.xlsx&amp;sheet=U0&amp;row=4655&amp;col=6&amp;number=4.1&amp;sourceID=14","4.1")</f>
        <v>4.1</v>
      </c>
      <c r="G4655" s="4" t="str">
        <f>HYPERLINK("http://141.218.60.56/~jnz1568/getInfo.php?workbook=14_06.xlsx&amp;sheet=U0&amp;row=4655&amp;col=7&amp;number=1.64e-06&amp;sourceID=14","1.64e-06")</f>
        <v>1.64e-06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HYPERLINK("http://141.218.60.56/~jnz1568/getInfo.php?workbook=14_06.xlsx&amp;sheet=U0&amp;row=4656&amp;col=6&amp;number=4.2&amp;sourceID=14","4.2")</f>
        <v>4.2</v>
      </c>
      <c r="G4656" s="4" t="str">
        <f>HYPERLINK("http://141.218.60.56/~jnz1568/getInfo.php?workbook=14_06.xlsx&amp;sheet=U0&amp;row=4656&amp;col=7&amp;number=1.64e-06&amp;sourceID=14","1.64e-06")</f>
        <v>1.64e-06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HYPERLINK("http://141.218.60.56/~jnz1568/getInfo.php?workbook=14_06.xlsx&amp;sheet=U0&amp;row=4657&amp;col=6&amp;number=4.3&amp;sourceID=14","4.3")</f>
        <v>4.3</v>
      </c>
      <c r="G4657" s="4" t="str">
        <f>HYPERLINK("http://141.218.60.56/~jnz1568/getInfo.php?workbook=14_06.xlsx&amp;sheet=U0&amp;row=4657&amp;col=7&amp;number=1.64e-06&amp;sourceID=14","1.64e-06")</f>
        <v>1.64e-06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HYPERLINK("http://141.218.60.56/~jnz1568/getInfo.php?workbook=14_06.xlsx&amp;sheet=U0&amp;row=4658&amp;col=6&amp;number=4.4&amp;sourceID=14","4.4")</f>
        <v>4.4</v>
      </c>
      <c r="G4658" s="4" t="str">
        <f>HYPERLINK("http://141.218.60.56/~jnz1568/getInfo.php?workbook=14_06.xlsx&amp;sheet=U0&amp;row=4658&amp;col=7&amp;number=1.63e-06&amp;sourceID=14","1.63e-06")</f>
        <v>1.63e-06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HYPERLINK("http://141.218.60.56/~jnz1568/getInfo.php?workbook=14_06.xlsx&amp;sheet=U0&amp;row=4659&amp;col=6&amp;number=4.5&amp;sourceID=14","4.5")</f>
        <v>4.5</v>
      </c>
      <c r="G4659" s="4" t="str">
        <f>HYPERLINK("http://141.218.60.56/~jnz1568/getInfo.php?workbook=14_06.xlsx&amp;sheet=U0&amp;row=4659&amp;col=7&amp;number=1.63e-06&amp;sourceID=14","1.63e-06")</f>
        <v>1.63e-06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HYPERLINK("http://141.218.60.56/~jnz1568/getInfo.php?workbook=14_06.xlsx&amp;sheet=U0&amp;row=4660&amp;col=6&amp;number=4.6&amp;sourceID=14","4.6")</f>
        <v>4.6</v>
      </c>
      <c r="G4660" s="4" t="str">
        <f>HYPERLINK("http://141.218.60.56/~jnz1568/getInfo.php?workbook=14_06.xlsx&amp;sheet=U0&amp;row=4660&amp;col=7&amp;number=1.62e-06&amp;sourceID=14","1.62e-06")</f>
        <v>1.62e-06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HYPERLINK("http://141.218.60.56/~jnz1568/getInfo.php?workbook=14_06.xlsx&amp;sheet=U0&amp;row=4661&amp;col=6&amp;number=4.7&amp;sourceID=14","4.7")</f>
        <v>4.7</v>
      </c>
      <c r="G4661" s="4" t="str">
        <f>HYPERLINK("http://141.218.60.56/~jnz1568/getInfo.php?workbook=14_06.xlsx&amp;sheet=U0&amp;row=4661&amp;col=7&amp;number=1.61e-06&amp;sourceID=14","1.61e-06")</f>
        <v>1.61e-06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HYPERLINK("http://141.218.60.56/~jnz1568/getInfo.php?workbook=14_06.xlsx&amp;sheet=U0&amp;row=4662&amp;col=6&amp;number=4.8&amp;sourceID=14","4.8")</f>
        <v>4.8</v>
      </c>
      <c r="G4662" s="4" t="str">
        <f>HYPERLINK("http://141.218.60.56/~jnz1568/getInfo.php?workbook=14_06.xlsx&amp;sheet=U0&amp;row=4662&amp;col=7&amp;number=1.61e-06&amp;sourceID=14","1.61e-06")</f>
        <v>1.61e-06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HYPERLINK("http://141.218.60.56/~jnz1568/getInfo.php?workbook=14_06.xlsx&amp;sheet=U0&amp;row=4663&amp;col=6&amp;number=4.9&amp;sourceID=14","4.9")</f>
        <v>4.9</v>
      </c>
      <c r="G4663" s="4" t="str">
        <f>HYPERLINK("http://141.218.60.56/~jnz1568/getInfo.php?workbook=14_06.xlsx&amp;sheet=U0&amp;row=4663&amp;col=7&amp;number=1.59e-06&amp;sourceID=14","1.59e-06")</f>
        <v>1.59e-06</v>
      </c>
    </row>
    <row r="4664" spans="1:7">
      <c r="A4664" s="3">
        <v>14</v>
      </c>
      <c r="B4664" s="3">
        <v>6</v>
      </c>
      <c r="C4664" s="3">
        <v>6</v>
      </c>
      <c r="D4664" s="3">
        <v>27</v>
      </c>
      <c r="E4664" s="3">
        <v>1</v>
      </c>
      <c r="F4664" s="4" t="str">
        <f>HYPERLINK("http://141.218.60.56/~jnz1568/getInfo.php?workbook=14_06.xlsx&amp;sheet=U0&amp;row=4664&amp;col=6&amp;number=3&amp;sourceID=14","3")</f>
        <v>3</v>
      </c>
      <c r="G4664" s="4" t="str">
        <f>HYPERLINK("http://141.218.60.56/~jnz1568/getInfo.php?workbook=14_06.xlsx&amp;sheet=U0&amp;row=4664&amp;col=7&amp;number=1e-06&amp;sourceID=14","1e-06")</f>
        <v>1e-06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HYPERLINK("http://141.218.60.56/~jnz1568/getInfo.php?workbook=14_06.xlsx&amp;sheet=U0&amp;row=4665&amp;col=6&amp;number=3.1&amp;sourceID=14","3.1")</f>
        <v>3.1</v>
      </c>
      <c r="G4665" s="4" t="str">
        <f>HYPERLINK("http://141.218.60.56/~jnz1568/getInfo.php?workbook=14_06.xlsx&amp;sheet=U0&amp;row=4665&amp;col=7&amp;number=1e-06&amp;sourceID=14","1e-06")</f>
        <v>1e-06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HYPERLINK("http://141.218.60.56/~jnz1568/getInfo.php?workbook=14_06.xlsx&amp;sheet=U0&amp;row=4666&amp;col=6&amp;number=3.2&amp;sourceID=14","3.2")</f>
        <v>3.2</v>
      </c>
      <c r="G4666" s="4" t="str">
        <f>HYPERLINK("http://141.218.60.56/~jnz1568/getInfo.php?workbook=14_06.xlsx&amp;sheet=U0&amp;row=4666&amp;col=7&amp;number=1e-06&amp;sourceID=14","1e-06")</f>
        <v>1e-06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HYPERLINK("http://141.218.60.56/~jnz1568/getInfo.php?workbook=14_06.xlsx&amp;sheet=U0&amp;row=4667&amp;col=6&amp;number=3.3&amp;sourceID=14","3.3")</f>
        <v>3.3</v>
      </c>
      <c r="G4667" s="4" t="str">
        <f>HYPERLINK("http://141.218.60.56/~jnz1568/getInfo.php?workbook=14_06.xlsx&amp;sheet=U0&amp;row=4667&amp;col=7&amp;number=1e-06&amp;sourceID=14","1e-06")</f>
        <v>1e-06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HYPERLINK("http://141.218.60.56/~jnz1568/getInfo.php?workbook=14_06.xlsx&amp;sheet=U0&amp;row=4668&amp;col=6&amp;number=3.4&amp;sourceID=14","3.4")</f>
        <v>3.4</v>
      </c>
      <c r="G4668" s="4" t="str">
        <f>HYPERLINK("http://141.218.60.56/~jnz1568/getInfo.php?workbook=14_06.xlsx&amp;sheet=U0&amp;row=4668&amp;col=7&amp;number=1e-06&amp;sourceID=14","1e-06")</f>
        <v>1e-06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HYPERLINK("http://141.218.60.56/~jnz1568/getInfo.php?workbook=14_06.xlsx&amp;sheet=U0&amp;row=4669&amp;col=6&amp;number=3.5&amp;sourceID=14","3.5")</f>
        <v>3.5</v>
      </c>
      <c r="G4669" s="4" t="str">
        <f>HYPERLINK("http://141.218.60.56/~jnz1568/getInfo.php?workbook=14_06.xlsx&amp;sheet=U0&amp;row=4669&amp;col=7&amp;number=1e-06&amp;sourceID=14","1e-06")</f>
        <v>1e-06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HYPERLINK("http://141.218.60.56/~jnz1568/getInfo.php?workbook=14_06.xlsx&amp;sheet=U0&amp;row=4670&amp;col=6&amp;number=3.6&amp;sourceID=14","3.6")</f>
        <v>3.6</v>
      </c>
      <c r="G4670" s="4" t="str">
        <f>HYPERLINK("http://141.218.60.56/~jnz1568/getInfo.php?workbook=14_06.xlsx&amp;sheet=U0&amp;row=4670&amp;col=7&amp;number=1e-06&amp;sourceID=14","1e-06")</f>
        <v>1e-06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HYPERLINK("http://141.218.60.56/~jnz1568/getInfo.php?workbook=14_06.xlsx&amp;sheet=U0&amp;row=4671&amp;col=6&amp;number=3.7&amp;sourceID=14","3.7")</f>
        <v>3.7</v>
      </c>
      <c r="G4671" s="4" t="str">
        <f>HYPERLINK("http://141.218.60.56/~jnz1568/getInfo.php?workbook=14_06.xlsx&amp;sheet=U0&amp;row=4671&amp;col=7&amp;number=1e-06&amp;sourceID=14","1e-06")</f>
        <v>1e-06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HYPERLINK("http://141.218.60.56/~jnz1568/getInfo.php?workbook=14_06.xlsx&amp;sheet=U0&amp;row=4672&amp;col=6&amp;number=3.8&amp;sourceID=14","3.8")</f>
        <v>3.8</v>
      </c>
      <c r="G4672" s="4" t="str">
        <f>HYPERLINK("http://141.218.60.56/~jnz1568/getInfo.php?workbook=14_06.xlsx&amp;sheet=U0&amp;row=4672&amp;col=7&amp;number=1e-06&amp;sourceID=14","1e-06")</f>
        <v>1e-06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HYPERLINK("http://141.218.60.56/~jnz1568/getInfo.php?workbook=14_06.xlsx&amp;sheet=U0&amp;row=4673&amp;col=6&amp;number=3.9&amp;sourceID=14","3.9")</f>
        <v>3.9</v>
      </c>
      <c r="G4673" s="4" t="str">
        <f>HYPERLINK("http://141.218.60.56/~jnz1568/getInfo.php?workbook=14_06.xlsx&amp;sheet=U0&amp;row=4673&amp;col=7&amp;number=1e-06&amp;sourceID=14","1e-06")</f>
        <v>1e-06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HYPERLINK("http://141.218.60.56/~jnz1568/getInfo.php?workbook=14_06.xlsx&amp;sheet=U0&amp;row=4674&amp;col=6&amp;number=4&amp;sourceID=14","4")</f>
        <v>4</v>
      </c>
      <c r="G4674" s="4" t="str">
        <f>HYPERLINK("http://141.218.60.56/~jnz1568/getInfo.php?workbook=14_06.xlsx&amp;sheet=U0&amp;row=4674&amp;col=7&amp;number=1e-06&amp;sourceID=14","1e-06")</f>
        <v>1e-06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HYPERLINK("http://141.218.60.56/~jnz1568/getInfo.php?workbook=14_06.xlsx&amp;sheet=U0&amp;row=4675&amp;col=6&amp;number=4.1&amp;sourceID=14","4.1")</f>
        <v>4.1</v>
      </c>
      <c r="G4675" s="4" t="str">
        <f>HYPERLINK("http://141.218.60.56/~jnz1568/getInfo.php?workbook=14_06.xlsx&amp;sheet=U0&amp;row=4675&amp;col=7&amp;number=1e-06&amp;sourceID=14","1e-06")</f>
        <v>1e-06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HYPERLINK("http://141.218.60.56/~jnz1568/getInfo.php?workbook=14_06.xlsx&amp;sheet=U0&amp;row=4676&amp;col=6&amp;number=4.2&amp;sourceID=14","4.2")</f>
        <v>4.2</v>
      </c>
      <c r="G4676" s="4" t="str">
        <f>HYPERLINK("http://141.218.60.56/~jnz1568/getInfo.php?workbook=14_06.xlsx&amp;sheet=U0&amp;row=4676&amp;col=7&amp;number=1e-06&amp;sourceID=14","1e-06")</f>
        <v>1e-06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HYPERLINK("http://141.218.60.56/~jnz1568/getInfo.php?workbook=14_06.xlsx&amp;sheet=U0&amp;row=4677&amp;col=6&amp;number=4.3&amp;sourceID=14","4.3")</f>
        <v>4.3</v>
      </c>
      <c r="G4677" s="4" t="str">
        <f>HYPERLINK("http://141.218.60.56/~jnz1568/getInfo.php?workbook=14_06.xlsx&amp;sheet=U0&amp;row=4677&amp;col=7&amp;number=1e-06&amp;sourceID=14","1e-06")</f>
        <v>1e-06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HYPERLINK("http://141.218.60.56/~jnz1568/getInfo.php?workbook=14_06.xlsx&amp;sheet=U0&amp;row=4678&amp;col=6&amp;number=4.4&amp;sourceID=14","4.4")</f>
        <v>4.4</v>
      </c>
      <c r="G4678" s="4" t="str">
        <f>HYPERLINK("http://141.218.60.56/~jnz1568/getInfo.php?workbook=14_06.xlsx&amp;sheet=U0&amp;row=4678&amp;col=7&amp;number=1e-06&amp;sourceID=14","1e-06")</f>
        <v>1e-06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HYPERLINK("http://141.218.60.56/~jnz1568/getInfo.php?workbook=14_06.xlsx&amp;sheet=U0&amp;row=4679&amp;col=6&amp;number=4.5&amp;sourceID=14","4.5")</f>
        <v>4.5</v>
      </c>
      <c r="G4679" s="4" t="str">
        <f>HYPERLINK("http://141.218.60.56/~jnz1568/getInfo.php?workbook=14_06.xlsx&amp;sheet=U0&amp;row=4679&amp;col=7&amp;number=1e-06&amp;sourceID=14","1e-06")</f>
        <v>1e-06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HYPERLINK("http://141.218.60.56/~jnz1568/getInfo.php?workbook=14_06.xlsx&amp;sheet=U0&amp;row=4680&amp;col=6&amp;number=4.6&amp;sourceID=14","4.6")</f>
        <v>4.6</v>
      </c>
      <c r="G4680" s="4" t="str">
        <f>HYPERLINK("http://141.218.60.56/~jnz1568/getInfo.php?workbook=14_06.xlsx&amp;sheet=U0&amp;row=4680&amp;col=7&amp;number=1e-06&amp;sourceID=14","1e-06")</f>
        <v>1e-06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HYPERLINK("http://141.218.60.56/~jnz1568/getInfo.php?workbook=14_06.xlsx&amp;sheet=U0&amp;row=4681&amp;col=6&amp;number=4.7&amp;sourceID=14","4.7")</f>
        <v>4.7</v>
      </c>
      <c r="G4681" s="4" t="str">
        <f>HYPERLINK("http://141.218.60.56/~jnz1568/getInfo.php?workbook=14_06.xlsx&amp;sheet=U0&amp;row=4681&amp;col=7&amp;number=1e-06&amp;sourceID=14","1e-06")</f>
        <v>1e-06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HYPERLINK("http://141.218.60.56/~jnz1568/getInfo.php?workbook=14_06.xlsx&amp;sheet=U0&amp;row=4682&amp;col=6&amp;number=4.8&amp;sourceID=14","4.8")</f>
        <v>4.8</v>
      </c>
      <c r="G4682" s="4" t="str">
        <f>HYPERLINK("http://141.218.60.56/~jnz1568/getInfo.php?workbook=14_06.xlsx&amp;sheet=U0&amp;row=4682&amp;col=7&amp;number=1e-06&amp;sourceID=14","1e-06")</f>
        <v>1e-06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HYPERLINK("http://141.218.60.56/~jnz1568/getInfo.php?workbook=14_06.xlsx&amp;sheet=U0&amp;row=4683&amp;col=6&amp;number=4.9&amp;sourceID=14","4.9")</f>
        <v>4.9</v>
      </c>
      <c r="G4683" s="4" t="str">
        <f>HYPERLINK("http://141.218.60.56/~jnz1568/getInfo.php?workbook=14_06.xlsx&amp;sheet=U0&amp;row=4683&amp;col=7&amp;number=1e-06&amp;sourceID=14","1e-06")</f>
        <v>1e-06</v>
      </c>
    </row>
    <row r="4684" spans="1:7">
      <c r="A4684" s="3">
        <v>14</v>
      </c>
      <c r="B4684" s="3">
        <v>6</v>
      </c>
      <c r="C4684" s="3">
        <v>6</v>
      </c>
      <c r="D4684" s="3">
        <v>28</v>
      </c>
      <c r="E4684" s="3">
        <v>1</v>
      </c>
      <c r="F4684" s="4" t="str">
        <f>HYPERLINK("http://141.218.60.56/~jnz1568/getInfo.php?workbook=14_06.xlsx&amp;sheet=U0&amp;row=4684&amp;col=6&amp;number=3&amp;sourceID=14","3")</f>
        <v>3</v>
      </c>
      <c r="G4684" s="4" t="str">
        <f>HYPERLINK("http://141.218.60.56/~jnz1568/getInfo.php?workbook=14_06.xlsx&amp;sheet=U0&amp;row=4684&amp;col=7&amp;number=3.04e-06&amp;sourceID=14","3.04e-06")</f>
        <v>3.04e-06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HYPERLINK("http://141.218.60.56/~jnz1568/getInfo.php?workbook=14_06.xlsx&amp;sheet=U0&amp;row=4685&amp;col=6&amp;number=3.1&amp;sourceID=14","3.1")</f>
        <v>3.1</v>
      </c>
      <c r="G4685" s="4" t="str">
        <f>HYPERLINK("http://141.218.60.56/~jnz1568/getInfo.php?workbook=14_06.xlsx&amp;sheet=U0&amp;row=4685&amp;col=7&amp;number=3.04e-06&amp;sourceID=14","3.04e-06")</f>
        <v>3.04e-06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HYPERLINK("http://141.218.60.56/~jnz1568/getInfo.php?workbook=14_06.xlsx&amp;sheet=U0&amp;row=4686&amp;col=6&amp;number=3.2&amp;sourceID=14","3.2")</f>
        <v>3.2</v>
      </c>
      <c r="G4686" s="4" t="str">
        <f>HYPERLINK("http://141.218.60.56/~jnz1568/getInfo.php?workbook=14_06.xlsx&amp;sheet=U0&amp;row=4686&amp;col=7&amp;number=3.04e-06&amp;sourceID=14","3.04e-06")</f>
        <v>3.04e-06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HYPERLINK("http://141.218.60.56/~jnz1568/getInfo.php?workbook=14_06.xlsx&amp;sheet=U0&amp;row=4687&amp;col=6&amp;number=3.3&amp;sourceID=14","3.3")</f>
        <v>3.3</v>
      </c>
      <c r="G4687" s="4" t="str">
        <f>HYPERLINK("http://141.218.60.56/~jnz1568/getInfo.php?workbook=14_06.xlsx&amp;sheet=U0&amp;row=4687&amp;col=7&amp;number=3.04e-06&amp;sourceID=14","3.04e-06")</f>
        <v>3.04e-06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HYPERLINK("http://141.218.60.56/~jnz1568/getInfo.php?workbook=14_06.xlsx&amp;sheet=U0&amp;row=4688&amp;col=6&amp;number=3.4&amp;sourceID=14","3.4")</f>
        <v>3.4</v>
      </c>
      <c r="G4688" s="4" t="str">
        <f>HYPERLINK("http://141.218.60.56/~jnz1568/getInfo.php?workbook=14_06.xlsx&amp;sheet=U0&amp;row=4688&amp;col=7&amp;number=3.04e-06&amp;sourceID=14","3.04e-06")</f>
        <v>3.04e-06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HYPERLINK("http://141.218.60.56/~jnz1568/getInfo.php?workbook=14_06.xlsx&amp;sheet=U0&amp;row=4689&amp;col=6&amp;number=3.5&amp;sourceID=14","3.5")</f>
        <v>3.5</v>
      </c>
      <c r="G4689" s="4" t="str">
        <f>HYPERLINK("http://141.218.60.56/~jnz1568/getInfo.php?workbook=14_06.xlsx&amp;sheet=U0&amp;row=4689&amp;col=7&amp;number=3.04e-06&amp;sourceID=14","3.04e-06")</f>
        <v>3.04e-06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HYPERLINK("http://141.218.60.56/~jnz1568/getInfo.php?workbook=14_06.xlsx&amp;sheet=U0&amp;row=4690&amp;col=6&amp;number=3.6&amp;sourceID=14","3.6")</f>
        <v>3.6</v>
      </c>
      <c r="G4690" s="4" t="str">
        <f>HYPERLINK("http://141.218.60.56/~jnz1568/getInfo.php?workbook=14_06.xlsx&amp;sheet=U0&amp;row=4690&amp;col=7&amp;number=3.04e-06&amp;sourceID=14","3.04e-06")</f>
        <v>3.04e-06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HYPERLINK("http://141.218.60.56/~jnz1568/getInfo.php?workbook=14_06.xlsx&amp;sheet=U0&amp;row=4691&amp;col=6&amp;number=3.7&amp;sourceID=14","3.7")</f>
        <v>3.7</v>
      </c>
      <c r="G4691" s="4" t="str">
        <f>HYPERLINK("http://141.218.60.56/~jnz1568/getInfo.php?workbook=14_06.xlsx&amp;sheet=U0&amp;row=4691&amp;col=7&amp;number=3.04e-06&amp;sourceID=14","3.04e-06")</f>
        <v>3.04e-06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HYPERLINK("http://141.218.60.56/~jnz1568/getInfo.php?workbook=14_06.xlsx&amp;sheet=U0&amp;row=4692&amp;col=6&amp;number=3.8&amp;sourceID=14","3.8")</f>
        <v>3.8</v>
      </c>
      <c r="G4692" s="4" t="str">
        <f>HYPERLINK("http://141.218.60.56/~jnz1568/getInfo.php?workbook=14_06.xlsx&amp;sheet=U0&amp;row=4692&amp;col=7&amp;number=3.04e-06&amp;sourceID=14","3.04e-06")</f>
        <v>3.04e-06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HYPERLINK("http://141.218.60.56/~jnz1568/getInfo.php?workbook=14_06.xlsx&amp;sheet=U0&amp;row=4693&amp;col=6&amp;number=3.9&amp;sourceID=14","3.9")</f>
        <v>3.9</v>
      </c>
      <c r="G4693" s="4" t="str">
        <f>HYPERLINK("http://141.218.60.56/~jnz1568/getInfo.php?workbook=14_06.xlsx&amp;sheet=U0&amp;row=4693&amp;col=7&amp;number=3.04e-06&amp;sourceID=14","3.04e-06")</f>
        <v>3.04e-06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HYPERLINK("http://141.218.60.56/~jnz1568/getInfo.php?workbook=14_06.xlsx&amp;sheet=U0&amp;row=4694&amp;col=6&amp;number=4&amp;sourceID=14","4")</f>
        <v>4</v>
      </c>
      <c r="G4694" s="4" t="str">
        <f>HYPERLINK("http://141.218.60.56/~jnz1568/getInfo.php?workbook=14_06.xlsx&amp;sheet=U0&amp;row=4694&amp;col=7&amp;number=3.04e-06&amp;sourceID=14","3.04e-06")</f>
        <v>3.04e-06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HYPERLINK("http://141.218.60.56/~jnz1568/getInfo.php?workbook=14_06.xlsx&amp;sheet=U0&amp;row=4695&amp;col=6&amp;number=4.1&amp;sourceID=14","4.1")</f>
        <v>4.1</v>
      </c>
      <c r="G4695" s="4" t="str">
        <f>HYPERLINK("http://141.218.60.56/~jnz1568/getInfo.php?workbook=14_06.xlsx&amp;sheet=U0&amp;row=4695&amp;col=7&amp;number=3.04e-06&amp;sourceID=14","3.04e-06")</f>
        <v>3.04e-06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HYPERLINK("http://141.218.60.56/~jnz1568/getInfo.php?workbook=14_06.xlsx&amp;sheet=U0&amp;row=4696&amp;col=6&amp;number=4.2&amp;sourceID=14","4.2")</f>
        <v>4.2</v>
      </c>
      <c r="G4696" s="4" t="str">
        <f>HYPERLINK("http://141.218.60.56/~jnz1568/getInfo.php?workbook=14_06.xlsx&amp;sheet=U0&amp;row=4696&amp;col=7&amp;number=3.04e-06&amp;sourceID=14","3.04e-06")</f>
        <v>3.04e-06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HYPERLINK("http://141.218.60.56/~jnz1568/getInfo.php?workbook=14_06.xlsx&amp;sheet=U0&amp;row=4697&amp;col=6&amp;number=4.3&amp;sourceID=14","4.3")</f>
        <v>4.3</v>
      </c>
      <c r="G4697" s="4" t="str">
        <f>HYPERLINK("http://141.218.60.56/~jnz1568/getInfo.php?workbook=14_06.xlsx&amp;sheet=U0&amp;row=4697&amp;col=7&amp;number=3.04e-06&amp;sourceID=14","3.04e-06")</f>
        <v>3.04e-06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HYPERLINK("http://141.218.60.56/~jnz1568/getInfo.php?workbook=14_06.xlsx&amp;sheet=U0&amp;row=4698&amp;col=6&amp;number=4.4&amp;sourceID=14","4.4")</f>
        <v>4.4</v>
      </c>
      <c r="G4698" s="4" t="str">
        <f>HYPERLINK("http://141.218.60.56/~jnz1568/getInfo.php?workbook=14_06.xlsx&amp;sheet=U0&amp;row=4698&amp;col=7&amp;number=3.03e-06&amp;sourceID=14","3.03e-06")</f>
        <v>3.03e-06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HYPERLINK("http://141.218.60.56/~jnz1568/getInfo.php?workbook=14_06.xlsx&amp;sheet=U0&amp;row=4699&amp;col=6&amp;number=4.5&amp;sourceID=14","4.5")</f>
        <v>4.5</v>
      </c>
      <c r="G4699" s="4" t="str">
        <f>HYPERLINK("http://141.218.60.56/~jnz1568/getInfo.php?workbook=14_06.xlsx&amp;sheet=U0&amp;row=4699&amp;col=7&amp;number=3.03e-06&amp;sourceID=14","3.03e-06")</f>
        <v>3.03e-06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HYPERLINK("http://141.218.60.56/~jnz1568/getInfo.php?workbook=14_06.xlsx&amp;sheet=U0&amp;row=4700&amp;col=6&amp;number=4.6&amp;sourceID=14","4.6")</f>
        <v>4.6</v>
      </c>
      <c r="G4700" s="4" t="str">
        <f>HYPERLINK("http://141.218.60.56/~jnz1568/getInfo.php?workbook=14_06.xlsx&amp;sheet=U0&amp;row=4700&amp;col=7&amp;number=3.03e-06&amp;sourceID=14","3.03e-06")</f>
        <v>3.03e-06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HYPERLINK("http://141.218.60.56/~jnz1568/getInfo.php?workbook=14_06.xlsx&amp;sheet=U0&amp;row=4701&amp;col=6&amp;number=4.7&amp;sourceID=14","4.7")</f>
        <v>4.7</v>
      </c>
      <c r="G4701" s="4" t="str">
        <f>HYPERLINK("http://141.218.60.56/~jnz1568/getInfo.php?workbook=14_06.xlsx&amp;sheet=U0&amp;row=4701&amp;col=7&amp;number=3.03e-06&amp;sourceID=14","3.03e-06")</f>
        <v>3.03e-06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HYPERLINK("http://141.218.60.56/~jnz1568/getInfo.php?workbook=14_06.xlsx&amp;sheet=U0&amp;row=4702&amp;col=6&amp;number=4.8&amp;sourceID=14","4.8")</f>
        <v>4.8</v>
      </c>
      <c r="G4702" s="4" t="str">
        <f>HYPERLINK("http://141.218.60.56/~jnz1568/getInfo.php?workbook=14_06.xlsx&amp;sheet=U0&amp;row=4702&amp;col=7&amp;number=3.03e-06&amp;sourceID=14","3.03e-06")</f>
        <v>3.03e-06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HYPERLINK("http://141.218.60.56/~jnz1568/getInfo.php?workbook=14_06.xlsx&amp;sheet=U0&amp;row=4703&amp;col=6&amp;number=4.9&amp;sourceID=14","4.9")</f>
        <v>4.9</v>
      </c>
      <c r="G4703" s="4" t="str">
        <f>HYPERLINK("http://141.218.60.56/~jnz1568/getInfo.php?workbook=14_06.xlsx&amp;sheet=U0&amp;row=4703&amp;col=7&amp;number=3.03e-06&amp;sourceID=14","3.03e-06")</f>
        <v>3.03e-06</v>
      </c>
    </row>
    <row r="4704" spans="1:7">
      <c r="A4704" s="3">
        <v>14</v>
      </c>
      <c r="B4704" s="3">
        <v>6</v>
      </c>
      <c r="C4704" s="3">
        <v>6</v>
      </c>
      <c r="D4704" s="3">
        <v>29</v>
      </c>
      <c r="E4704" s="3">
        <v>1</v>
      </c>
      <c r="F4704" s="4" t="str">
        <f>HYPERLINK("http://141.218.60.56/~jnz1568/getInfo.php?workbook=14_06.xlsx&amp;sheet=U0&amp;row=4704&amp;col=6&amp;number=3&amp;sourceID=14","3")</f>
        <v>3</v>
      </c>
      <c r="G4704" s="4" t="str">
        <f>HYPERLINK("http://141.218.60.56/~jnz1568/getInfo.php?workbook=14_06.xlsx&amp;sheet=U0&amp;row=4704&amp;col=7&amp;number=5.03e-06&amp;sourceID=14","5.03e-06")</f>
        <v>5.03e-06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HYPERLINK("http://141.218.60.56/~jnz1568/getInfo.php?workbook=14_06.xlsx&amp;sheet=U0&amp;row=4705&amp;col=6&amp;number=3.1&amp;sourceID=14","3.1")</f>
        <v>3.1</v>
      </c>
      <c r="G4705" s="4" t="str">
        <f>HYPERLINK("http://141.218.60.56/~jnz1568/getInfo.php?workbook=14_06.xlsx&amp;sheet=U0&amp;row=4705&amp;col=7&amp;number=5.03e-06&amp;sourceID=14","5.03e-06")</f>
        <v>5.03e-06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HYPERLINK("http://141.218.60.56/~jnz1568/getInfo.php?workbook=14_06.xlsx&amp;sheet=U0&amp;row=4706&amp;col=6&amp;number=3.2&amp;sourceID=14","3.2")</f>
        <v>3.2</v>
      </c>
      <c r="G4706" s="4" t="str">
        <f>HYPERLINK("http://141.218.60.56/~jnz1568/getInfo.php?workbook=14_06.xlsx&amp;sheet=U0&amp;row=4706&amp;col=7&amp;number=5.03e-06&amp;sourceID=14","5.03e-06")</f>
        <v>5.03e-06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HYPERLINK("http://141.218.60.56/~jnz1568/getInfo.php?workbook=14_06.xlsx&amp;sheet=U0&amp;row=4707&amp;col=6&amp;number=3.3&amp;sourceID=14","3.3")</f>
        <v>3.3</v>
      </c>
      <c r="G4707" s="4" t="str">
        <f>HYPERLINK("http://141.218.60.56/~jnz1568/getInfo.php?workbook=14_06.xlsx&amp;sheet=U0&amp;row=4707&amp;col=7&amp;number=5.03e-06&amp;sourceID=14","5.03e-06")</f>
        <v>5.03e-06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HYPERLINK("http://141.218.60.56/~jnz1568/getInfo.php?workbook=14_06.xlsx&amp;sheet=U0&amp;row=4708&amp;col=6&amp;number=3.4&amp;sourceID=14","3.4")</f>
        <v>3.4</v>
      </c>
      <c r="G4708" s="4" t="str">
        <f>HYPERLINK("http://141.218.60.56/~jnz1568/getInfo.php?workbook=14_06.xlsx&amp;sheet=U0&amp;row=4708&amp;col=7&amp;number=5.03e-06&amp;sourceID=14","5.03e-06")</f>
        <v>5.03e-06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HYPERLINK("http://141.218.60.56/~jnz1568/getInfo.php?workbook=14_06.xlsx&amp;sheet=U0&amp;row=4709&amp;col=6&amp;number=3.5&amp;sourceID=14","3.5")</f>
        <v>3.5</v>
      </c>
      <c r="G4709" s="4" t="str">
        <f>HYPERLINK("http://141.218.60.56/~jnz1568/getInfo.php?workbook=14_06.xlsx&amp;sheet=U0&amp;row=4709&amp;col=7&amp;number=5.03e-06&amp;sourceID=14","5.03e-06")</f>
        <v>5.03e-06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HYPERLINK("http://141.218.60.56/~jnz1568/getInfo.php?workbook=14_06.xlsx&amp;sheet=U0&amp;row=4710&amp;col=6&amp;number=3.6&amp;sourceID=14","3.6")</f>
        <v>3.6</v>
      </c>
      <c r="G4710" s="4" t="str">
        <f>HYPERLINK("http://141.218.60.56/~jnz1568/getInfo.php?workbook=14_06.xlsx&amp;sheet=U0&amp;row=4710&amp;col=7&amp;number=5.03e-06&amp;sourceID=14","5.03e-06")</f>
        <v>5.03e-06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HYPERLINK("http://141.218.60.56/~jnz1568/getInfo.php?workbook=14_06.xlsx&amp;sheet=U0&amp;row=4711&amp;col=6&amp;number=3.7&amp;sourceID=14","3.7")</f>
        <v>3.7</v>
      </c>
      <c r="G4711" s="4" t="str">
        <f>HYPERLINK("http://141.218.60.56/~jnz1568/getInfo.php?workbook=14_06.xlsx&amp;sheet=U0&amp;row=4711&amp;col=7&amp;number=5.03e-06&amp;sourceID=14","5.03e-06")</f>
        <v>5.03e-06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HYPERLINK("http://141.218.60.56/~jnz1568/getInfo.php?workbook=14_06.xlsx&amp;sheet=U0&amp;row=4712&amp;col=6&amp;number=3.8&amp;sourceID=14","3.8")</f>
        <v>3.8</v>
      </c>
      <c r="G4712" s="4" t="str">
        <f>HYPERLINK("http://141.218.60.56/~jnz1568/getInfo.php?workbook=14_06.xlsx&amp;sheet=U0&amp;row=4712&amp;col=7&amp;number=5.03e-06&amp;sourceID=14","5.03e-06")</f>
        <v>5.03e-06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HYPERLINK("http://141.218.60.56/~jnz1568/getInfo.php?workbook=14_06.xlsx&amp;sheet=U0&amp;row=4713&amp;col=6&amp;number=3.9&amp;sourceID=14","3.9")</f>
        <v>3.9</v>
      </c>
      <c r="G4713" s="4" t="str">
        <f>HYPERLINK("http://141.218.60.56/~jnz1568/getInfo.php?workbook=14_06.xlsx&amp;sheet=U0&amp;row=4713&amp;col=7&amp;number=5.03e-06&amp;sourceID=14","5.03e-06")</f>
        <v>5.03e-06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HYPERLINK("http://141.218.60.56/~jnz1568/getInfo.php?workbook=14_06.xlsx&amp;sheet=U0&amp;row=4714&amp;col=6&amp;number=4&amp;sourceID=14","4")</f>
        <v>4</v>
      </c>
      <c r="G4714" s="4" t="str">
        <f>HYPERLINK("http://141.218.60.56/~jnz1568/getInfo.php?workbook=14_06.xlsx&amp;sheet=U0&amp;row=4714&amp;col=7&amp;number=5.03e-06&amp;sourceID=14","5.03e-06")</f>
        <v>5.03e-06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HYPERLINK("http://141.218.60.56/~jnz1568/getInfo.php?workbook=14_06.xlsx&amp;sheet=U0&amp;row=4715&amp;col=6&amp;number=4.1&amp;sourceID=14","4.1")</f>
        <v>4.1</v>
      </c>
      <c r="G4715" s="4" t="str">
        <f>HYPERLINK("http://141.218.60.56/~jnz1568/getInfo.php?workbook=14_06.xlsx&amp;sheet=U0&amp;row=4715&amp;col=7&amp;number=5.02e-06&amp;sourceID=14","5.02e-06")</f>
        <v>5.02e-06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HYPERLINK("http://141.218.60.56/~jnz1568/getInfo.php?workbook=14_06.xlsx&amp;sheet=U0&amp;row=4716&amp;col=6&amp;number=4.2&amp;sourceID=14","4.2")</f>
        <v>4.2</v>
      </c>
      <c r="G4716" s="4" t="str">
        <f>HYPERLINK("http://141.218.60.56/~jnz1568/getInfo.php?workbook=14_06.xlsx&amp;sheet=U0&amp;row=4716&amp;col=7&amp;number=5.02e-06&amp;sourceID=14","5.02e-06")</f>
        <v>5.02e-06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HYPERLINK("http://141.218.60.56/~jnz1568/getInfo.php?workbook=14_06.xlsx&amp;sheet=U0&amp;row=4717&amp;col=6&amp;number=4.3&amp;sourceID=14","4.3")</f>
        <v>4.3</v>
      </c>
      <c r="G4717" s="4" t="str">
        <f>HYPERLINK("http://141.218.60.56/~jnz1568/getInfo.php?workbook=14_06.xlsx&amp;sheet=U0&amp;row=4717&amp;col=7&amp;number=5.02e-06&amp;sourceID=14","5.02e-06")</f>
        <v>5.02e-06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HYPERLINK("http://141.218.60.56/~jnz1568/getInfo.php?workbook=14_06.xlsx&amp;sheet=U0&amp;row=4718&amp;col=6&amp;number=4.4&amp;sourceID=14","4.4")</f>
        <v>4.4</v>
      </c>
      <c r="G4718" s="4" t="str">
        <f>HYPERLINK("http://141.218.60.56/~jnz1568/getInfo.php?workbook=14_06.xlsx&amp;sheet=U0&amp;row=4718&amp;col=7&amp;number=5.02e-06&amp;sourceID=14","5.02e-06")</f>
        <v>5.02e-06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HYPERLINK("http://141.218.60.56/~jnz1568/getInfo.php?workbook=14_06.xlsx&amp;sheet=U0&amp;row=4719&amp;col=6&amp;number=4.5&amp;sourceID=14","4.5")</f>
        <v>4.5</v>
      </c>
      <c r="G4719" s="4" t="str">
        <f>HYPERLINK("http://141.218.60.56/~jnz1568/getInfo.php?workbook=14_06.xlsx&amp;sheet=U0&amp;row=4719&amp;col=7&amp;number=5.02e-06&amp;sourceID=14","5.02e-06")</f>
        <v>5.02e-06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HYPERLINK("http://141.218.60.56/~jnz1568/getInfo.php?workbook=14_06.xlsx&amp;sheet=U0&amp;row=4720&amp;col=6&amp;number=4.6&amp;sourceID=14","4.6")</f>
        <v>4.6</v>
      </c>
      <c r="G4720" s="4" t="str">
        <f>HYPERLINK("http://141.218.60.56/~jnz1568/getInfo.php?workbook=14_06.xlsx&amp;sheet=U0&amp;row=4720&amp;col=7&amp;number=5.02e-06&amp;sourceID=14","5.02e-06")</f>
        <v>5.02e-06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HYPERLINK("http://141.218.60.56/~jnz1568/getInfo.php?workbook=14_06.xlsx&amp;sheet=U0&amp;row=4721&amp;col=6&amp;number=4.7&amp;sourceID=14","4.7")</f>
        <v>4.7</v>
      </c>
      <c r="G4721" s="4" t="str">
        <f>HYPERLINK("http://141.218.60.56/~jnz1568/getInfo.php?workbook=14_06.xlsx&amp;sheet=U0&amp;row=4721&amp;col=7&amp;number=5.02e-06&amp;sourceID=14","5.02e-06")</f>
        <v>5.02e-06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HYPERLINK("http://141.218.60.56/~jnz1568/getInfo.php?workbook=14_06.xlsx&amp;sheet=U0&amp;row=4722&amp;col=6&amp;number=4.8&amp;sourceID=14","4.8")</f>
        <v>4.8</v>
      </c>
      <c r="G4722" s="4" t="str">
        <f>HYPERLINK("http://141.218.60.56/~jnz1568/getInfo.php?workbook=14_06.xlsx&amp;sheet=U0&amp;row=4722&amp;col=7&amp;number=5.02e-06&amp;sourceID=14","5.02e-06")</f>
        <v>5.02e-06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HYPERLINK("http://141.218.60.56/~jnz1568/getInfo.php?workbook=14_06.xlsx&amp;sheet=U0&amp;row=4723&amp;col=6&amp;number=4.9&amp;sourceID=14","4.9")</f>
        <v>4.9</v>
      </c>
      <c r="G4723" s="4" t="str">
        <f>HYPERLINK("http://141.218.60.56/~jnz1568/getInfo.php?workbook=14_06.xlsx&amp;sheet=U0&amp;row=4723&amp;col=7&amp;number=5.02e-06&amp;sourceID=14","5.02e-06")</f>
        <v>5.02e-06</v>
      </c>
    </row>
    <row r="4724" spans="1:7">
      <c r="A4724" s="3">
        <v>14</v>
      </c>
      <c r="B4724" s="3">
        <v>6</v>
      </c>
      <c r="C4724" s="3">
        <v>6</v>
      </c>
      <c r="D4724" s="3">
        <v>30</v>
      </c>
      <c r="E4724" s="3">
        <v>1</v>
      </c>
      <c r="F4724" s="4" t="str">
        <f>HYPERLINK("http://141.218.60.56/~jnz1568/getInfo.php?workbook=14_06.xlsx&amp;sheet=U0&amp;row=4724&amp;col=6&amp;number=3&amp;sourceID=14","3")</f>
        <v>3</v>
      </c>
      <c r="G4724" s="4" t="str">
        <f>HYPERLINK("http://141.218.60.56/~jnz1568/getInfo.php?workbook=14_06.xlsx&amp;sheet=U0&amp;row=4724&amp;col=7&amp;number=1.02e-05&amp;sourceID=14","1.02e-05")</f>
        <v>1.02e-05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HYPERLINK("http://141.218.60.56/~jnz1568/getInfo.php?workbook=14_06.xlsx&amp;sheet=U0&amp;row=4725&amp;col=6&amp;number=3.1&amp;sourceID=14","3.1")</f>
        <v>3.1</v>
      </c>
      <c r="G4725" s="4" t="str">
        <f>HYPERLINK("http://141.218.60.56/~jnz1568/getInfo.php?workbook=14_06.xlsx&amp;sheet=U0&amp;row=4725&amp;col=7&amp;number=1.02e-05&amp;sourceID=14","1.02e-05")</f>
        <v>1.02e-05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HYPERLINK("http://141.218.60.56/~jnz1568/getInfo.php?workbook=14_06.xlsx&amp;sheet=U0&amp;row=4726&amp;col=6&amp;number=3.2&amp;sourceID=14","3.2")</f>
        <v>3.2</v>
      </c>
      <c r="G4726" s="4" t="str">
        <f>HYPERLINK("http://141.218.60.56/~jnz1568/getInfo.php?workbook=14_06.xlsx&amp;sheet=U0&amp;row=4726&amp;col=7&amp;number=1.02e-05&amp;sourceID=14","1.02e-05")</f>
        <v>1.02e-05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HYPERLINK("http://141.218.60.56/~jnz1568/getInfo.php?workbook=14_06.xlsx&amp;sheet=U0&amp;row=4727&amp;col=6&amp;number=3.3&amp;sourceID=14","3.3")</f>
        <v>3.3</v>
      </c>
      <c r="G4727" s="4" t="str">
        <f>HYPERLINK("http://141.218.60.56/~jnz1568/getInfo.php?workbook=14_06.xlsx&amp;sheet=U0&amp;row=4727&amp;col=7&amp;number=1.02e-05&amp;sourceID=14","1.02e-05")</f>
        <v>1.02e-05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HYPERLINK("http://141.218.60.56/~jnz1568/getInfo.php?workbook=14_06.xlsx&amp;sheet=U0&amp;row=4728&amp;col=6&amp;number=3.4&amp;sourceID=14","3.4")</f>
        <v>3.4</v>
      </c>
      <c r="G4728" s="4" t="str">
        <f>HYPERLINK("http://141.218.60.56/~jnz1568/getInfo.php?workbook=14_06.xlsx&amp;sheet=U0&amp;row=4728&amp;col=7&amp;number=1.02e-05&amp;sourceID=14","1.02e-05")</f>
        <v>1.02e-05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HYPERLINK("http://141.218.60.56/~jnz1568/getInfo.php?workbook=14_06.xlsx&amp;sheet=U0&amp;row=4729&amp;col=6&amp;number=3.5&amp;sourceID=14","3.5")</f>
        <v>3.5</v>
      </c>
      <c r="G4729" s="4" t="str">
        <f>HYPERLINK("http://141.218.60.56/~jnz1568/getInfo.php?workbook=14_06.xlsx&amp;sheet=U0&amp;row=4729&amp;col=7&amp;number=1.02e-05&amp;sourceID=14","1.02e-05")</f>
        <v>1.02e-05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HYPERLINK("http://141.218.60.56/~jnz1568/getInfo.php?workbook=14_06.xlsx&amp;sheet=U0&amp;row=4730&amp;col=6&amp;number=3.6&amp;sourceID=14","3.6")</f>
        <v>3.6</v>
      </c>
      <c r="G4730" s="4" t="str">
        <f>HYPERLINK("http://141.218.60.56/~jnz1568/getInfo.php?workbook=14_06.xlsx&amp;sheet=U0&amp;row=4730&amp;col=7&amp;number=1.02e-05&amp;sourceID=14","1.02e-05")</f>
        <v>1.02e-05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HYPERLINK("http://141.218.60.56/~jnz1568/getInfo.php?workbook=14_06.xlsx&amp;sheet=U0&amp;row=4731&amp;col=6&amp;number=3.7&amp;sourceID=14","3.7")</f>
        <v>3.7</v>
      </c>
      <c r="G4731" s="4" t="str">
        <f>HYPERLINK("http://141.218.60.56/~jnz1568/getInfo.php?workbook=14_06.xlsx&amp;sheet=U0&amp;row=4731&amp;col=7&amp;number=1.02e-05&amp;sourceID=14","1.02e-05")</f>
        <v>1.02e-05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HYPERLINK("http://141.218.60.56/~jnz1568/getInfo.php?workbook=14_06.xlsx&amp;sheet=U0&amp;row=4732&amp;col=6&amp;number=3.8&amp;sourceID=14","3.8")</f>
        <v>3.8</v>
      </c>
      <c r="G4732" s="4" t="str">
        <f>HYPERLINK("http://141.218.60.56/~jnz1568/getInfo.php?workbook=14_06.xlsx&amp;sheet=U0&amp;row=4732&amp;col=7&amp;number=1.02e-05&amp;sourceID=14","1.02e-05")</f>
        <v>1.02e-05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HYPERLINK("http://141.218.60.56/~jnz1568/getInfo.php?workbook=14_06.xlsx&amp;sheet=U0&amp;row=4733&amp;col=6&amp;number=3.9&amp;sourceID=14","3.9")</f>
        <v>3.9</v>
      </c>
      <c r="G4733" s="4" t="str">
        <f>HYPERLINK("http://141.218.60.56/~jnz1568/getInfo.php?workbook=14_06.xlsx&amp;sheet=U0&amp;row=4733&amp;col=7&amp;number=1.02e-05&amp;sourceID=14","1.02e-05")</f>
        <v>1.02e-05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HYPERLINK("http://141.218.60.56/~jnz1568/getInfo.php?workbook=14_06.xlsx&amp;sheet=U0&amp;row=4734&amp;col=6&amp;number=4&amp;sourceID=14","4")</f>
        <v>4</v>
      </c>
      <c r="G4734" s="4" t="str">
        <f>HYPERLINK("http://141.218.60.56/~jnz1568/getInfo.php?workbook=14_06.xlsx&amp;sheet=U0&amp;row=4734&amp;col=7&amp;number=1.02e-05&amp;sourceID=14","1.02e-05")</f>
        <v>1.02e-05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HYPERLINK("http://141.218.60.56/~jnz1568/getInfo.php?workbook=14_06.xlsx&amp;sheet=U0&amp;row=4735&amp;col=6&amp;number=4.1&amp;sourceID=14","4.1")</f>
        <v>4.1</v>
      </c>
      <c r="G4735" s="4" t="str">
        <f>HYPERLINK("http://141.218.60.56/~jnz1568/getInfo.php?workbook=14_06.xlsx&amp;sheet=U0&amp;row=4735&amp;col=7&amp;number=1.02e-05&amp;sourceID=14","1.02e-05")</f>
        <v>1.02e-05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HYPERLINK("http://141.218.60.56/~jnz1568/getInfo.php?workbook=14_06.xlsx&amp;sheet=U0&amp;row=4736&amp;col=6&amp;number=4.2&amp;sourceID=14","4.2")</f>
        <v>4.2</v>
      </c>
      <c r="G4736" s="4" t="str">
        <f>HYPERLINK("http://141.218.60.56/~jnz1568/getInfo.php?workbook=14_06.xlsx&amp;sheet=U0&amp;row=4736&amp;col=7&amp;number=1.01e-05&amp;sourceID=14","1.01e-05")</f>
        <v>1.01e-05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HYPERLINK("http://141.218.60.56/~jnz1568/getInfo.php?workbook=14_06.xlsx&amp;sheet=U0&amp;row=4737&amp;col=6&amp;number=4.3&amp;sourceID=14","4.3")</f>
        <v>4.3</v>
      </c>
      <c r="G4737" s="4" t="str">
        <f>HYPERLINK("http://141.218.60.56/~jnz1568/getInfo.php?workbook=14_06.xlsx&amp;sheet=U0&amp;row=4737&amp;col=7&amp;number=1.01e-05&amp;sourceID=14","1.01e-05")</f>
        <v>1.01e-05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HYPERLINK("http://141.218.60.56/~jnz1568/getInfo.php?workbook=14_06.xlsx&amp;sheet=U0&amp;row=4738&amp;col=6&amp;number=4.4&amp;sourceID=14","4.4")</f>
        <v>4.4</v>
      </c>
      <c r="G4738" s="4" t="str">
        <f>HYPERLINK("http://141.218.60.56/~jnz1568/getInfo.php?workbook=14_06.xlsx&amp;sheet=U0&amp;row=4738&amp;col=7&amp;number=1.01e-05&amp;sourceID=14","1.01e-05")</f>
        <v>1.01e-05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HYPERLINK("http://141.218.60.56/~jnz1568/getInfo.php?workbook=14_06.xlsx&amp;sheet=U0&amp;row=4739&amp;col=6&amp;number=4.5&amp;sourceID=14","4.5")</f>
        <v>4.5</v>
      </c>
      <c r="G4739" s="4" t="str">
        <f>HYPERLINK("http://141.218.60.56/~jnz1568/getInfo.php?workbook=14_06.xlsx&amp;sheet=U0&amp;row=4739&amp;col=7&amp;number=1.01e-05&amp;sourceID=14","1.01e-05")</f>
        <v>1.01e-05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HYPERLINK("http://141.218.60.56/~jnz1568/getInfo.php?workbook=14_06.xlsx&amp;sheet=U0&amp;row=4740&amp;col=6&amp;number=4.6&amp;sourceID=14","4.6")</f>
        <v>4.6</v>
      </c>
      <c r="G4740" s="4" t="str">
        <f>HYPERLINK("http://141.218.60.56/~jnz1568/getInfo.php?workbook=14_06.xlsx&amp;sheet=U0&amp;row=4740&amp;col=7&amp;number=1e-05&amp;sourceID=14","1e-05")</f>
        <v>1e-05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HYPERLINK("http://141.218.60.56/~jnz1568/getInfo.php?workbook=14_06.xlsx&amp;sheet=U0&amp;row=4741&amp;col=6&amp;number=4.7&amp;sourceID=14","4.7")</f>
        <v>4.7</v>
      </c>
      <c r="G4741" s="4" t="str">
        <f>HYPERLINK("http://141.218.60.56/~jnz1568/getInfo.php?workbook=14_06.xlsx&amp;sheet=U0&amp;row=4741&amp;col=7&amp;number=1e-05&amp;sourceID=14","1e-05")</f>
        <v>1e-05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HYPERLINK("http://141.218.60.56/~jnz1568/getInfo.php?workbook=14_06.xlsx&amp;sheet=U0&amp;row=4742&amp;col=6&amp;number=4.8&amp;sourceID=14","4.8")</f>
        <v>4.8</v>
      </c>
      <c r="G4742" s="4" t="str">
        <f>HYPERLINK("http://141.218.60.56/~jnz1568/getInfo.php?workbook=14_06.xlsx&amp;sheet=U0&amp;row=4742&amp;col=7&amp;number=9.94e-06&amp;sourceID=14","9.94e-06")</f>
        <v>9.94e-06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HYPERLINK("http://141.218.60.56/~jnz1568/getInfo.php?workbook=14_06.xlsx&amp;sheet=U0&amp;row=4743&amp;col=6&amp;number=4.9&amp;sourceID=14","4.9")</f>
        <v>4.9</v>
      </c>
      <c r="G4743" s="4" t="str">
        <f>HYPERLINK("http://141.218.60.56/~jnz1568/getInfo.php?workbook=14_06.xlsx&amp;sheet=U0&amp;row=4743&amp;col=7&amp;number=9.87e-06&amp;sourceID=14","9.87e-06")</f>
        <v>9.87e-06</v>
      </c>
    </row>
    <row r="4744" spans="1:7">
      <c r="A4744" s="3">
        <v>14</v>
      </c>
      <c r="B4744" s="3">
        <v>6</v>
      </c>
      <c r="C4744" s="3">
        <v>6</v>
      </c>
      <c r="D4744" s="3">
        <v>31</v>
      </c>
      <c r="E4744" s="3">
        <v>1</v>
      </c>
      <c r="F4744" s="4" t="str">
        <f>HYPERLINK("http://141.218.60.56/~jnz1568/getInfo.php?workbook=14_06.xlsx&amp;sheet=U0&amp;row=4744&amp;col=6&amp;number=3&amp;sourceID=14","3")</f>
        <v>3</v>
      </c>
      <c r="G4744" s="4" t="str">
        <f>HYPERLINK("http://141.218.60.56/~jnz1568/getInfo.php?workbook=14_06.xlsx&amp;sheet=U0&amp;row=4744&amp;col=7&amp;number=2.85e-05&amp;sourceID=14","2.85e-05")</f>
        <v>2.85e-05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HYPERLINK("http://141.218.60.56/~jnz1568/getInfo.php?workbook=14_06.xlsx&amp;sheet=U0&amp;row=4745&amp;col=6&amp;number=3.1&amp;sourceID=14","3.1")</f>
        <v>3.1</v>
      </c>
      <c r="G4745" s="4" t="str">
        <f>HYPERLINK("http://141.218.60.56/~jnz1568/getInfo.php?workbook=14_06.xlsx&amp;sheet=U0&amp;row=4745&amp;col=7&amp;number=2.85e-05&amp;sourceID=14","2.85e-05")</f>
        <v>2.85e-05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HYPERLINK("http://141.218.60.56/~jnz1568/getInfo.php?workbook=14_06.xlsx&amp;sheet=U0&amp;row=4746&amp;col=6&amp;number=3.2&amp;sourceID=14","3.2")</f>
        <v>3.2</v>
      </c>
      <c r="G4746" s="4" t="str">
        <f>HYPERLINK("http://141.218.60.56/~jnz1568/getInfo.php?workbook=14_06.xlsx&amp;sheet=U0&amp;row=4746&amp;col=7&amp;number=2.85e-05&amp;sourceID=14","2.85e-05")</f>
        <v>2.85e-05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HYPERLINK("http://141.218.60.56/~jnz1568/getInfo.php?workbook=14_06.xlsx&amp;sheet=U0&amp;row=4747&amp;col=6&amp;number=3.3&amp;sourceID=14","3.3")</f>
        <v>3.3</v>
      </c>
      <c r="G4747" s="4" t="str">
        <f>HYPERLINK("http://141.218.60.56/~jnz1568/getInfo.php?workbook=14_06.xlsx&amp;sheet=U0&amp;row=4747&amp;col=7&amp;number=2.85e-05&amp;sourceID=14","2.85e-05")</f>
        <v>2.85e-05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HYPERLINK("http://141.218.60.56/~jnz1568/getInfo.php?workbook=14_06.xlsx&amp;sheet=U0&amp;row=4748&amp;col=6&amp;number=3.4&amp;sourceID=14","3.4")</f>
        <v>3.4</v>
      </c>
      <c r="G4748" s="4" t="str">
        <f>HYPERLINK("http://141.218.60.56/~jnz1568/getInfo.php?workbook=14_06.xlsx&amp;sheet=U0&amp;row=4748&amp;col=7&amp;number=2.85e-05&amp;sourceID=14","2.85e-05")</f>
        <v>2.85e-05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HYPERLINK("http://141.218.60.56/~jnz1568/getInfo.php?workbook=14_06.xlsx&amp;sheet=U0&amp;row=4749&amp;col=6&amp;number=3.5&amp;sourceID=14","3.5")</f>
        <v>3.5</v>
      </c>
      <c r="G4749" s="4" t="str">
        <f>HYPERLINK("http://141.218.60.56/~jnz1568/getInfo.php?workbook=14_06.xlsx&amp;sheet=U0&amp;row=4749&amp;col=7&amp;number=2.85e-05&amp;sourceID=14","2.85e-05")</f>
        <v>2.85e-05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HYPERLINK("http://141.218.60.56/~jnz1568/getInfo.php?workbook=14_06.xlsx&amp;sheet=U0&amp;row=4750&amp;col=6&amp;number=3.6&amp;sourceID=14","3.6")</f>
        <v>3.6</v>
      </c>
      <c r="G4750" s="4" t="str">
        <f>HYPERLINK("http://141.218.60.56/~jnz1568/getInfo.php?workbook=14_06.xlsx&amp;sheet=U0&amp;row=4750&amp;col=7&amp;number=2.84e-05&amp;sourceID=14","2.84e-05")</f>
        <v>2.84e-05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HYPERLINK("http://141.218.60.56/~jnz1568/getInfo.php?workbook=14_06.xlsx&amp;sheet=U0&amp;row=4751&amp;col=6&amp;number=3.7&amp;sourceID=14","3.7")</f>
        <v>3.7</v>
      </c>
      <c r="G4751" s="4" t="str">
        <f>HYPERLINK("http://141.218.60.56/~jnz1568/getInfo.php?workbook=14_06.xlsx&amp;sheet=U0&amp;row=4751&amp;col=7&amp;number=2.84e-05&amp;sourceID=14","2.84e-05")</f>
        <v>2.84e-05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HYPERLINK("http://141.218.60.56/~jnz1568/getInfo.php?workbook=14_06.xlsx&amp;sheet=U0&amp;row=4752&amp;col=6&amp;number=3.8&amp;sourceID=14","3.8")</f>
        <v>3.8</v>
      </c>
      <c r="G4752" s="4" t="str">
        <f>HYPERLINK("http://141.218.60.56/~jnz1568/getInfo.php?workbook=14_06.xlsx&amp;sheet=U0&amp;row=4752&amp;col=7&amp;number=2.84e-05&amp;sourceID=14","2.84e-05")</f>
        <v>2.84e-05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HYPERLINK("http://141.218.60.56/~jnz1568/getInfo.php?workbook=14_06.xlsx&amp;sheet=U0&amp;row=4753&amp;col=6&amp;number=3.9&amp;sourceID=14","3.9")</f>
        <v>3.9</v>
      </c>
      <c r="G4753" s="4" t="str">
        <f>HYPERLINK("http://141.218.60.56/~jnz1568/getInfo.php?workbook=14_06.xlsx&amp;sheet=U0&amp;row=4753&amp;col=7&amp;number=2.84e-05&amp;sourceID=14","2.84e-05")</f>
        <v>2.84e-05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HYPERLINK("http://141.218.60.56/~jnz1568/getInfo.php?workbook=14_06.xlsx&amp;sheet=U0&amp;row=4754&amp;col=6&amp;number=4&amp;sourceID=14","4")</f>
        <v>4</v>
      </c>
      <c r="G4754" s="4" t="str">
        <f>HYPERLINK("http://141.218.60.56/~jnz1568/getInfo.php?workbook=14_06.xlsx&amp;sheet=U0&amp;row=4754&amp;col=7&amp;number=2.84e-05&amp;sourceID=14","2.84e-05")</f>
        <v>2.84e-05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HYPERLINK("http://141.218.60.56/~jnz1568/getInfo.php?workbook=14_06.xlsx&amp;sheet=U0&amp;row=4755&amp;col=6&amp;number=4.1&amp;sourceID=14","4.1")</f>
        <v>4.1</v>
      </c>
      <c r="G4755" s="4" t="str">
        <f>HYPERLINK("http://141.218.60.56/~jnz1568/getInfo.php?workbook=14_06.xlsx&amp;sheet=U0&amp;row=4755&amp;col=7&amp;number=2.83e-05&amp;sourceID=14","2.83e-05")</f>
        <v>2.83e-05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HYPERLINK("http://141.218.60.56/~jnz1568/getInfo.php?workbook=14_06.xlsx&amp;sheet=U0&amp;row=4756&amp;col=6&amp;number=4.2&amp;sourceID=14","4.2")</f>
        <v>4.2</v>
      </c>
      <c r="G4756" s="4" t="str">
        <f>HYPERLINK("http://141.218.60.56/~jnz1568/getInfo.php?workbook=14_06.xlsx&amp;sheet=U0&amp;row=4756&amp;col=7&amp;number=2.83e-05&amp;sourceID=14","2.83e-05")</f>
        <v>2.83e-05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HYPERLINK("http://141.218.60.56/~jnz1568/getInfo.php?workbook=14_06.xlsx&amp;sheet=U0&amp;row=4757&amp;col=6&amp;number=4.3&amp;sourceID=14","4.3")</f>
        <v>4.3</v>
      </c>
      <c r="G4757" s="4" t="str">
        <f>HYPERLINK("http://141.218.60.56/~jnz1568/getInfo.php?workbook=14_06.xlsx&amp;sheet=U0&amp;row=4757&amp;col=7&amp;number=2.83e-05&amp;sourceID=14","2.83e-05")</f>
        <v>2.83e-05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HYPERLINK("http://141.218.60.56/~jnz1568/getInfo.php?workbook=14_06.xlsx&amp;sheet=U0&amp;row=4758&amp;col=6&amp;number=4.4&amp;sourceID=14","4.4")</f>
        <v>4.4</v>
      </c>
      <c r="G4758" s="4" t="str">
        <f>HYPERLINK("http://141.218.60.56/~jnz1568/getInfo.php?workbook=14_06.xlsx&amp;sheet=U0&amp;row=4758&amp;col=7&amp;number=2.82e-05&amp;sourceID=14","2.82e-05")</f>
        <v>2.82e-05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HYPERLINK("http://141.218.60.56/~jnz1568/getInfo.php?workbook=14_06.xlsx&amp;sheet=U0&amp;row=4759&amp;col=6&amp;number=4.5&amp;sourceID=14","4.5")</f>
        <v>4.5</v>
      </c>
      <c r="G4759" s="4" t="str">
        <f>HYPERLINK("http://141.218.60.56/~jnz1568/getInfo.php?workbook=14_06.xlsx&amp;sheet=U0&amp;row=4759&amp;col=7&amp;number=2.81e-05&amp;sourceID=14","2.81e-05")</f>
        <v>2.81e-05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HYPERLINK("http://141.218.60.56/~jnz1568/getInfo.php?workbook=14_06.xlsx&amp;sheet=U0&amp;row=4760&amp;col=6&amp;number=4.6&amp;sourceID=14","4.6")</f>
        <v>4.6</v>
      </c>
      <c r="G4760" s="4" t="str">
        <f>HYPERLINK("http://141.218.60.56/~jnz1568/getInfo.php?workbook=14_06.xlsx&amp;sheet=U0&amp;row=4760&amp;col=7&amp;number=2.8e-05&amp;sourceID=14","2.8e-05")</f>
        <v>2.8e-05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HYPERLINK("http://141.218.60.56/~jnz1568/getInfo.php?workbook=14_06.xlsx&amp;sheet=U0&amp;row=4761&amp;col=6&amp;number=4.7&amp;sourceID=14","4.7")</f>
        <v>4.7</v>
      </c>
      <c r="G4761" s="4" t="str">
        <f>HYPERLINK("http://141.218.60.56/~jnz1568/getInfo.php?workbook=14_06.xlsx&amp;sheet=U0&amp;row=4761&amp;col=7&amp;number=2.79e-05&amp;sourceID=14","2.79e-05")</f>
        <v>2.79e-05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HYPERLINK("http://141.218.60.56/~jnz1568/getInfo.php?workbook=14_06.xlsx&amp;sheet=U0&amp;row=4762&amp;col=6&amp;number=4.8&amp;sourceID=14","4.8")</f>
        <v>4.8</v>
      </c>
      <c r="G4762" s="4" t="str">
        <f>HYPERLINK("http://141.218.60.56/~jnz1568/getInfo.php?workbook=14_06.xlsx&amp;sheet=U0&amp;row=4762&amp;col=7&amp;number=2.78e-05&amp;sourceID=14","2.78e-05")</f>
        <v>2.78e-05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HYPERLINK("http://141.218.60.56/~jnz1568/getInfo.php?workbook=14_06.xlsx&amp;sheet=U0&amp;row=4763&amp;col=6&amp;number=4.9&amp;sourceID=14","4.9")</f>
        <v>4.9</v>
      </c>
      <c r="G4763" s="4" t="str">
        <f>HYPERLINK("http://141.218.60.56/~jnz1568/getInfo.php?workbook=14_06.xlsx&amp;sheet=U0&amp;row=4763&amp;col=7&amp;number=2.76e-05&amp;sourceID=14","2.76e-05")</f>
        <v>2.76e-05</v>
      </c>
    </row>
    <row r="4764" spans="1:7">
      <c r="A4764" s="3">
        <v>14</v>
      </c>
      <c r="B4764" s="3">
        <v>6</v>
      </c>
      <c r="C4764" s="3">
        <v>6</v>
      </c>
      <c r="D4764" s="3">
        <v>32</v>
      </c>
      <c r="E4764" s="3">
        <v>1</v>
      </c>
      <c r="F4764" s="4" t="str">
        <f>HYPERLINK("http://141.218.60.56/~jnz1568/getInfo.php?workbook=14_06.xlsx&amp;sheet=U0&amp;row=4764&amp;col=6&amp;number=3&amp;sourceID=14","3")</f>
        <v>3</v>
      </c>
      <c r="G4764" s="4" t="str">
        <f>HYPERLINK("http://141.218.60.56/~jnz1568/getInfo.php?workbook=14_06.xlsx&amp;sheet=U0&amp;row=4764&amp;col=7&amp;number=4.78e-05&amp;sourceID=14","4.78e-05")</f>
        <v>4.78e-05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HYPERLINK("http://141.218.60.56/~jnz1568/getInfo.php?workbook=14_06.xlsx&amp;sheet=U0&amp;row=4765&amp;col=6&amp;number=3.1&amp;sourceID=14","3.1")</f>
        <v>3.1</v>
      </c>
      <c r="G4765" s="4" t="str">
        <f>HYPERLINK("http://141.218.60.56/~jnz1568/getInfo.php?workbook=14_06.xlsx&amp;sheet=U0&amp;row=4765&amp;col=7&amp;number=4.78e-05&amp;sourceID=14","4.78e-05")</f>
        <v>4.78e-05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HYPERLINK("http://141.218.60.56/~jnz1568/getInfo.php?workbook=14_06.xlsx&amp;sheet=U0&amp;row=4766&amp;col=6&amp;number=3.2&amp;sourceID=14","3.2")</f>
        <v>3.2</v>
      </c>
      <c r="G4766" s="4" t="str">
        <f>HYPERLINK("http://141.218.60.56/~jnz1568/getInfo.php?workbook=14_06.xlsx&amp;sheet=U0&amp;row=4766&amp;col=7&amp;number=4.78e-05&amp;sourceID=14","4.78e-05")</f>
        <v>4.78e-05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HYPERLINK("http://141.218.60.56/~jnz1568/getInfo.php?workbook=14_06.xlsx&amp;sheet=U0&amp;row=4767&amp;col=6&amp;number=3.3&amp;sourceID=14","3.3")</f>
        <v>3.3</v>
      </c>
      <c r="G4767" s="4" t="str">
        <f>HYPERLINK("http://141.218.60.56/~jnz1568/getInfo.php?workbook=14_06.xlsx&amp;sheet=U0&amp;row=4767&amp;col=7&amp;number=4.78e-05&amp;sourceID=14","4.78e-05")</f>
        <v>4.78e-05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HYPERLINK("http://141.218.60.56/~jnz1568/getInfo.php?workbook=14_06.xlsx&amp;sheet=U0&amp;row=4768&amp;col=6&amp;number=3.4&amp;sourceID=14","3.4")</f>
        <v>3.4</v>
      </c>
      <c r="G4768" s="4" t="str">
        <f>HYPERLINK("http://141.218.60.56/~jnz1568/getInfo.php?workbook=14_06.xlsx&amp;sheet=U0&amp;row=4768&amp;col=7&amp;number=4.78e-05&amp;sourceID=14","4.78e-05")</f>
        <v>4.78e-05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HYPERLINK("http://141.218.60.56/~jnz1568/getInfo.php?workbook=14_06.xlsx&amp;sheet=U0&amp;row=4769&amp;col=6&amp;number=3.5&amp;sourceID=14","3.5")</f>
        <v>3.5</v>
      </c>
      <c r="G4769" s="4" t="str">
        <f>HYPERLINK("http://141.218.60.56/~jnz1568/getInfo.php?workbook=14_06.xlsx&amp;sheet=U0&amp;row=4769&amp;col=7&amp;number=4.78e-05&amp;sourceID=14","4.78e-05")</f>
        <v>4.78e-05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HYPERLINK("http://141.218.60.56/~jnz1568/getInfo.php?workbook=14_06.xlsx&amp;sheet=U0&amp;row=4770&amp;col=6&amp;number=3.6&amp;sourceID=14","3.6")</f>
        <v>3.6</v>
      </c>
      <c r="G4770" s="4" t="str">
        <f>HYPERLINK("http://141.218.60.56/~jnz1568/getInfo.php?workbook=14_06.xlsx&amp;sheet=U0&amp;row=4770&amp;col=7&amp;number=4.78e-05&amp;sourceID=14","4.78e-05")</f>
        <v>4.78e-05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HYPERLINK("http://141.218.60.56/~jnz1568/getInfo.php?workbook=14_06.xlsx&amp;sheet=U0&amp;row=4771&amp;col=6&amp;number=3.7&amp;sourceID=14","3.7")</f>
        <v>3.7</v>
      </c>
      <c r="G4771" s="4" t="str">
        <f>HYPERLINK("http://141.218.60.56/~jnz1568/getInfo.php?workbook=14_06.xlsx&amp;sheet=U0&amp;row=4771&amp;col=7&amp;number=4.77e-05&amp;sourceID=14","4.77e-05")</f>
        <v>4.77e-05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HYPERLINK("http://141.218.60.56/~jnz1568/getInfo.php?workbook=14_06.xlsx&amp;sheet=U0&amp;row=4772&amp;col=6&amp;number=3.8&amp;sourceID=14","3.8")</f>
        <v>3.8</v>
      </c>
      <c r="G4772" s="4" t="str">
        <f>HYPERLINK("http://141.218.60.56/~jnz1568/getInfo.php?workbook=14_06.xlsx&amp;sheet=U0&amp;row=4772&amp;col=7&amp;number=4.77e-05&amp;sourceID=14","4.77e-05")</f>
        <v>4.77e-05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HYPERLINK("http://141.218.60.56/~jnz1568/getInfo.php?workbook=14_06.xlsx&amp;sheet=U0&amp;row=4773&amp;col=6&amp;number=3.9&amp;sourceID=14","3.9")</f>
        <v>3.9</v>
      </c>
      <c r="G4773" s="4" t="str">
        <f>HYPERLINK("http://141.218.60.56/~jnz1568/getInfo.php?workbook=14_06.xlsx&amp;sheet=U0&amp;row=4773&amp;col=7&amp;number=4.77e-05&amp;sourceID=14","4.77e-05")</f>
        <v>4.77e-05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HYPERLINK("http://141.218.60.56/~jnz1568/getInfo.php?workbook=14_06.xlsx&amp;sheet=U0&amp;row=4774&amp;col=6&amp;number=4&amp;sourceID=14","4")</f>
        <v>4</v>
      </c>
      <c r="G4774" s="4" t="str">
        <f>HYPERLINK("http://141.218.60.56/~jnz1568/getInfo.php?workbook=14_06.xlsx&amp;sheet=U0&amp;row=4774&amp;col=7&amp;number=4.76e-05&amp;sourceID=14","4.76e-05")</f>
        <v>4.76e-05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HYPERLINK("http://141.218.60.56/~jnz1568/getInfo.php?workbook=14_06.xlsx&amp;sheet=U0&amp;row=4775&amp;col=6&amp;number=4.1&amp;sourceID=14","4.1")</f>
        <v>4.1</v>
      </c>
      <c r="G4775" s="4" t="str">
        <f>HYPERLINK("http://141.218.60.56/~jnz1568/getInfo.php?workbook=14_06.xlsx&amp;sheet=U0&amp;row=4775&amp;col=7&amp;number=4.76e-05&amp;sourceID=14","4.76e-05")</f>
        <v>4.76e-05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HYPERLINK("http://141.218.60.56/~jnz1568/getInfo.php?workbook=14_06.xlsx&amp;sheet=U0&amp;row=4776&amp;col=6&amp;number=4.2&amp;sourceID=14","4.2")</f>
        <v>4.2</v>
      </c>
      <c r="G4776" s="4" t="str">
        <f>HYPERLINK("http://141.218.60.56/~jnz1568/getInfo.php?workbook=14_06.xlsx&amp;sheet=U0&amp;row=4776&amp;col=7&amp;number=4.75e-05&amp;sourceID=14","4.75e-05")</f>
        <v>4.75e-05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HYPERLINK("http://141.218.60.56/~jnz1568/getInfo.php?workbook=14_06.xlsx&amp;sheet=U0&amp;row=4777&amp;col=6&amp;number=4.3&amp;sourceID=14","4.3")</f>
        <v>4.3</v>
      </c>
      <c r="G4777" s="4" t="str">
        <f>HYPERLINK("http://141.218.60.56/~jnz1568/getInfo.php?workbook=14_06.xlsx&amp;sheet=U0&amp;row=4777&amp;col=7&amp;number=4.74e-05&amp;sourceID=14","4.74e-05")</f>
        <v>4.74e-05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HYPERLINK("http://141.218.60.56/~jnz1568/getInfo.php?workbook=14_06.xlsx&amp;sheet=U0&amp;row=4778&amp;col=6&amp;number=4.4&amp;sourceID=14","4.4")</f>
        <v>4.4</v>
      </c>
      <c r="G4778" s="4" t="str">
        <f>HYPERLINK("http://141.218.60.56/~jnz1568/getInfo.php?workbook=14_06.xlsx&amp;sheet=U0&amp;row=4778&amp;col=7&amp;number=4.73e-05&amp;sourceID=14","4.73e-05")</f>
        <v>4.73e-05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HYPERLINK("http://141.218.60.56/~jnz1568/getInfo.php?workbook=14_06.xlsx&amp;sheet=U0&amp;row=4779&amp;col=6&amp;number=4.5&amp;sourceID=14","4.5")</f>
        <v>4.5</v>
      </c>
      <c r="G4779" s="4" t="str">
        <f>HYPERLINK("http://141.218.60.56/~jnz1568/getInfo.php?workbook=14_06.xlsx&amp;sheet=U0&amp;row=4779&amp;col=7&amp;number=4.72e-05&amp;sourceID=14","4.72e-05")</f>
        <v>4.72e-05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HYPERLINK("http://141.218.60.56/~jnz1568/getInfo.php?workbook=14_06.xlsx&amp;sheet=U0&amp;row=4780&amp;col=6&amp;number=4.6&amp;sourceID=14","4.6")</f>
        <v>4.6</v>
      </c>
      <c r="G4780" s="4" t="str">
        <f>HYPERLINK("http://141.218.60.56/~jnz1568/getInfo.php?workbook=14_06.xlsx&amp;sheet=U0&amp;row=4780&amp;col=7&amp;number=4.7e-05&amp;sourceID=14","4.7e-05")</f>
        <v>4.7e-05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HYPERLINK("http://141.218.60.56/~jnz1568/getInfo.php?workbook=14_06.xlsx&amp;sheet=U0&amp;row=4781&amp;col=6&amp;number=4.7&amp;sourceID=14","4.7")</f>
        <v>4.7</v>
      </c>
      <c r="G4781" s="4" t="str">
        <f>HYPERLINK("http://141.218.60.56/~jnz1568/getInfo.php?workbook=14_06.xlsx&amp;sheet=U0&amp;row=4781&amp;col=7&amp;number=4.68e-05&amp;sourceID=14","4.68e-05")</f>
        <v>4.68e-05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HYPERLINK("http://141.218.60.56/~jnz1568/getInfo.php?workbook=14_06.xlsx&amp;sheet=U0&amp;row=4782&amp;col=6&amp;number=4.8&amp;sourceID=14","4.8")</f>
        <v>4.8</v>
      </c>
      <c r="G4782" s="4" t="str">
        <f>HYPERLINK("http://141.218.60.56/~jnz1568/getInfo.php?workbook=14_06.xlsx&amp;sheet=U0&amp;row=4782&amp;col=7&amp;number=4.66e-05&amp;sourceID=14","4.66e-05")</f>
        <v>4.66e-05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HYPERLINK("http://141.218.60.56/~jnz1568/getInfo.php?workbook=14_06.xlsx&amp;sheet=U0&amp;row=4783&amp;col=6&amp;number=4.9&amp;sourceID=14","4.9")</f>
        <v>4.9</v>
      </c>
      <c r="G4783" s="4" t="str">
        <f>HYPERLINK("http://141.218.60.56/~jnz1568/getInfo.php?workbook=14_06.xlsx&amp;sheet=U0&amp;row=4783&amp;col=7&amp;number=4.63e-05&amp;sourceID=14","4.63e-05")</f>
        <v>4.63e-05</v>
      </c>
    </row>
    <row r="4784" spans="1:7">
      <c r="A4784" s="3">
        <v>14</v>
      </c>
      <c r="B4784" s="3">
        <v>6</v>
      </c>
      <c r="C4784" s="3">
        <v>6</v>
      </c>
      <c r="D4784" s="3">
        <v>35</v>
      </c>
      <c r="E4784" s="3">
        <v>1</v>
      </c>
      <c r="F4784" s="4" t="str">
        <f>HYPERLINK("http://141.218.60.56/~jnz1568/getInfo.php?workbook=14_06.xlsx&amp;sheet=U0&amp;row=4784&amp;col=6&amp;number=3&amp;sourceID=14","3")</f>
        <v>3</v>
      </c>
      <c r="G4784" s="4" t="str">
        <f>HYPERLINK("http://141.218.60.56/~jnz1568/getInfo.php?workbook=14_06.xlsx&amp;sheet=U0&amp;row=4784&amp;col=7&amp;number=1.48e-06&amp;sourceID=14","1.48e-06")</f>
        <v>1.48e-06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HYPERLINK("http://141.218.60.56/~jnz1568/getInfo.php?workbook=14_06.xlsx&amp;sheet=U0&amp;row=4785&amp;col=6&amp;number=3.1&amp;sourceID=14","3.1")</f>
        <v>3.1</v>
      </c>
      <c r="G4785" s="4" t="str">
        <f>HYPERLINK("http://141.218.60.56/~jnz1568/getInfo.php?workbook=14_06.xlsx&amp;sheet=U0&amp;row=4785&amp;col=7&amp;number=1.48e-06&amp;sourceID=14","1.48e-06")</f>
        <v>1.48e-06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HYPERLINK("http://141.218.60.56/~jnz1568/getInfo.php?workbook=14_06.xlsx&amp;sheet=U0&amp;row=4786&amp;col=6&amp;number=3.2&amp;sourceID=14","3.2")</f>
        <v>3.2</v>
      </c>
      <c r="G4786" s="4" t="str">
        <f>HYPERLINK("http://141.218.60.56/~jnz1568/getInfo.php?workbook=14_06.xlsx&amp;sheet=U0&amp;row=4786&amp;col=7&amp;number=1.48e-06&amp;sourceID=14","1.48e-06")</f>
        <v>1.48e-06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HYPERLINK("http://141.218.60.56/~jnz1568/getInfo.php?workbook=14_06.xlsx&amp;sheet=U0&amp;row=4787&amp;col=6&amp;number=3.3&amp;sourceID=14","3.3")</f>
        <v>3.3</v>
      </c>
      <c r="G4787" s="4" t="str">
        <f>HYPERLINK("http://141.218.60.56/~jnz1568/getInfo.php?workbook=14_06.xlsx&amp;sheet=U0&amp;row=4787&amp;col=7&amp;number=1.48e-06&amp;sourceID=14","1.48e-06")</f>
        <v>1.48e-06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HYPERLINK("http://141.218.60.56/~jnz1568/getInfo.php?workbook=14_06.xlsx&amp;sheet=U0&amp;row=4788&amp;col=6&amp;number=3.4&amp;sourceID=14","3.4")</f>
        <v>3.4</v>
      </c>
      <c r="G4788" s="4" t="str">
        <f>HYPERLINK("http://141.218.60.56/~jnz1568/getInfo.php?workbook=14_06.xlsx&amp;sheet=U0&amp;row=4788&amp;col=7&amp;number=1.48e-06&amp;sourceID=14","1.48e-06")</f>
        <v>1.48e-06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HYPERLINK("http://141.218.60.56/~jnz1568/getInfo.php?workbook=14_06.xlsx&amp;sheet=U0&amp;row=4789&amp;col=6&amp;number=3.5&amp;sourceID=14","3.5")</f>
        <v>3.5</v>
      </c>
      <c r="G4789" s="4" t="str">
        <f>HYPERLINK("http://141.218.60.56/~jnz1568/getInfo.php?workbook=14_06.xlsx&amp;sheet=U0&amp;row=4789&amp;col=7&amp;number=1.48e-06&amp;sourceID=14","1.48e-06")</f>
        <v>1.48e-06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HYPERLINK("http://141.218.60.56/~jnz1568/getInfo.php?workbook=14_06.xlsx&amp;sheet=U0&amp;row=4790&amp;col=6&amp;number=3.6&amp;sourceID=14","3.6")</f>
        <v>3.6</v>
      </c>
      <c r="G4790" s="4" t="str">
        <f>HYPERLINK("http://141.218.60.56/~jnz1568/getInfo.php?workbook=14_06.xlsx&amp;sheet=U0&amp;row=4790&amp;col=7&amp;number=1.48e-06&amp;sourceID=14","1.48e-06")</f>
        <v>1.48e-06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HYPERLINK("http://141.218.60.56/~jnz1568/getInfo.php?workbook=14_06.xlsx&amp;sheet=U0&amp;row=4791&amp;col=6&amp;number=3.7&amp;sourceID=14","3.7")</f>
        <v>3.7</v>
      </c>
      <c r="G4791" s="4" t="str">
        <f>HYPERLINK("http://141.218.60.56/~jnz1568/getInfo.php?workbook=14_06.xlsx&amp;sheet=U0&amp;row=4791&amp;col=7&amp;number=1.48e-06&amp;sourceID=14","1.48e-06")</f>
        <v>1.48e-06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HYPERLINK("http://141.218.60.56/~jnz1568/getInfo.php?workbook=14_06.xlsx&amp;sheet=U0&amp;row=4792&amp;col=6&amp;number=3.8&amp;sourceID=14","3.8")</f>
        <v>3.8</v>
      </c>
      <c r="G4792" s="4" t="str">
        <f>HYPERLINK("http://141.218.60.56/~jnz1568/getInfo.php?workbook=14_06.xlsx&amp;sheet=U0&amp;row=4792&amp;col=7&amp;number=1.48e-06&amp;sourceID=14","1.48e-06")</f>
        <v>1.48e-06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HYPERLINK("http://141.218.60.56/~jnz1568/getInfo.php?workbook=14_06.xlsx&amp;sheet=U0&amp;row=4793&amp;col=6&amp;number=3.9&amp;sourceID=14","3.9")</f>
        <v>3.9</v>
      </c>
      <c r="G4793" s="4" t="str">
        <f>HYPERLINK("http://141.218.60.56/~jnz1568/getInfo.php?workbook=14_06.xlsx&amp;sheet=U0&amp;row=4793&amp;col=7&amp;number=1.48e-06&amp;sourceID=14","1.48e-06")</f>
        <v>1.48e-06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HYPERLINK("http://141.218.60.56/~jnz1568/getInfo.php?workbook=14_06.xlsx&amp;sheet=U0&amp;row=4794&amp;col=6&amp;number=4&amp;sourceID=14","4")</f>
        <v>4</v>
      </c>
      <c r="G4794" s="4" t="str">
        <f>HYPERLINK("http://141.218.60.56/~jnz1568/getInfo.php?workbook=14_06.xlsx&amp;sheet=U0&amp;row=4794&amp;col=7&amp;number=1.47e-06&amp;sourceID=14","1.47e-06")</f>
        <v>1.47e-06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HYPERLINK("http://141.218.60.56/~jnz1568/getInfo.php?workbook=14_06.xlsx&amp;sheet=U0&amp;row=4795&amp;col=6&amp;number=4.1&amp;sourceID=14","4.1")</f>
        <v>4.1</v>
      </c>
      <c r="G4795" s="4" t="str">
        <f>HYPERLINK("http://141.218.60.56/~jnz1568/getInfo.php?workbook=14_06.xlsx&amp;sheet=U0&amp;row=4795&amp;col=7&amp;number=1.47e-06&amp;sourceID=14","1.47e-06")</f>
        <v>1.47e-06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HYPERLINK("http://141.218.60.56/~jnz1568/getInfo.php?workbook=14_06.xlsx&amp;sheet=U0&amp;row=4796&amp;col=6&amp;number=4.2&amp;sourceID=14","4.2")</f>
        <v>4.2</v>
      </c>
      <c r="G4796" s="4" t="str">
        <f>HYPERLINK("http://141.218.60.56/~jnz1568/getInfo.php?workbook=14_06.xlsx&amp;sheet=U0&amp;row=4796&amp;col=7&amp;number=1.47e-06&amp;sourceID=14","1.47e-06")</f>
        <v>1.47e-06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HYPERLINK("http://141.218.60.56/~jnz1568/getInfo.php?workbook=14_06.xlsx&amp;sheet=U0&amp;row=4797&amp;col=6&amp;number=4.3&amp;sourceID=14","4.3")</f>
        <v>4.3</v>
      </c>
      <c r="G4797" s="4" t="str">
        <f>HYPERLINK("http://141.218.60.56/~jnz1568/getInfo.php?workbook=14_06.xlsx&amp;sheet=U0&amp;row=4797&amp;col=7&amp;number=1.47e-06&amp;sourceID=14","1.47e-06")</f>
        <v>1.47e-06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HYPERLINK("http://141.218.60.56/~jnz1568/getInfo.php?workbook=14_06.xlsx&amp;sheet=U0&amp;row=4798&amp;col=6&amp;number=4.4&amp;sourceID=14","4.4")</f>
        <v>4.4</v>
      </c>
      <c r="G4798" s="4" t="str">
        <f>HYPERLINK("http://141.218.60.56/~jnz1568/getInfo.php?workbook=14_06.xlsx&amp;sheet=U0&amp;row=4798&amp;col=7&amp;number=1.46e-06&amp;sourceID=14","1.46e-06")</f>
        <v>1.46e-06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HYPERLINK("http://141.218.60.56/~jnz1568/getInfo.php?workbook=14_06.xlsx&amp;sheet=U0&amp;row=4799&amp;col=6&amp;number=4.5&amp;sourceID=14","4.5")</f>
        <v>4.5</v>
      </c>
      <c r="G4799" s="4" t="str">
        <f>HYPERLINK("http://141.218.60.56/~jnz1568/getInfo.php?workbook=14_06.xlsx&amp;sheet=U0&amp;row=4799&amp;col=7&amp;number=1.46e-06&amp;sourceID=14","1.46e-06")</f>
        <v>1.46e-06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HYPERLINK("http://141.218.60.56/~jnz1568/getInfo.php?workbook=14_06.xlsx&amp;sheet=U0&amp;row=4800&amp;col=6&amp;number=4.6&amp;sourceID=14","4.6")</f>
        <v>4.6</v>
      </c>
      <c r="G4800" s="4" t="str">
        <f>HYPERLINK("http://141.218.60.56/~jnz1568/getInfo.php?workbook=14_06.xlsx&amp;sheet=U0&amp;row=4800&amp;col=7&amp;number=1.45e-06&amp;sourceID=14","1.45e-06")</f>
        <v>1.45e-06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HYPERLINK("http://141.218.60.56/~jnz1568/getInfo.php?workbook=14_06.xlsx&amp;sheet=U0&amp;row=4801&amp;col=6&amp;number=4.7&amp;sourceID=14","4.7")</f>
        <v>4.7</v>
      </c>
      <c r="G4801" s="4" t="str">
        <f>HYPERLINK("http://141.218.60.56/~jnz1568/getInfo.php?workbook=14_06.xlsx&amp;sheet=U0&amp;row=4801&amp;col=7&amp;number=1.45e-06&amp;sourceID=14","1.45e-06")</f>
        <v>1.45e-06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HYPERLINK("http://141.218.60.56/~jnz1568/getInfo.php?workbook=14_06.xlsx&amp;sheet=U0&amp;row=4802&amp;col=6&amp;number=4.8&amp;sourceID=14","4.8")</f>
        <v>4.8</v>
      </c>
      <c r="G4802" s="4" t="str">
        <f>HYPERLINK("http://141.218.60.56/~jnz1568/getInfo.php?workbook=14_06.xlsx&amp;sheet=U0&amp;row=4802&amp;col=7&amp;number=1.44e-06&amp;sourceID=14","1.44e-06")</f>
        <v>1.44e-06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HYPERLINK("http://141.218.60.56/~jnz1568/getInfo.php?workbook=14_06.xlsx&amp;sheet=U0&amp;row=4803&amp;col=6&amp;number=4.9&amp;sourceID=14","4.9")</f>
        <v>4.9</v>
      </c>
      <c r="G4803" s="4" t="str">
        <f>HYPERLINK("http://141.218.60.56/~jnz1568/getInfo.php?workbook=14_06.xlsx&amp;sheet=U0&amp;row=4803&amp;col=7&amp;number=1.43e-06&amp;sourceID=14","1.43e-06")</f>
        <v>1.43e-06</v>
      </c>
    </row>
    <row r="4804" spans="1:7">
      <c r="A4804" s="3">
        <v>14</v>
      </c>
      <c r="B4804" s="3">
        <v>6</v>
      </c>
      <c r="C4804" s="3">
        <v>6</v>
      </c>
      <c r="D4804" s="3">
        <v>36</v>
      </c>
      <c r="E4804" s="3">
        <v>1</v>
      </c>
      <c r="F4804" s="4" t="str">
        <f>HYPERLINK("http://141.218.60.56/~jnz1568/getInfo.php?workbook=14_06.xlsx&amp;sheet=U0&amp;row=4804&amp;col=6&amp;number=3&amp;sourceID=14","3")</f>
        <v>3</v>
      </c>
      <c r="G4804" s="4" t="str">
        <f>HYPERLINK("http://141.218.60.56/~jnz1568/getInfo.php?workbook=14_06.xlsx&amp;sheet=U0&amp;row=4804&amp;col=7&amp;number=3.93e-06&amp;sourceID=14","3.93e-06")</f>
        <v>3.93e-06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HYPERLINK("http://141.218.60.56/~jnz1568/getInfo.php?workbook=14_06.xlsx&amp;sheet=U0&amp;row=4805&amp;col=6&amp;number=3.1&amp;sourceID=14","3.1")</f>
        <v>3.1</v>
      </c>
      <c r="G4805" s="4" t="str">
        <f>HYPERLINK("http://141.218.60.56/~jnz1568/getInfo.php?workbook=14_06.xlsx&amp;sheet=U0&amp;row=4805&amp;col=7&amp;number=3.93e-06&amp;sourceID=14","3.93e-06")</f>
        <v>3.93e-06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HYPERLINK("http://141.218.60.56/~jnz1568/getInfo.php?workbook=14_06.xlsx&amp;sheet=U0&amp;row=4806&amp;col=6&amp;number=3.2&amp;sourceID=14","3.2")</f>
        <v>3.2</v>
      </c>
      <c r="G4806" s="4" t="str">
        <f>HYPERLINK("http://141.218.60.56/~jnz1568/getInfo.php?workbook=14_06.xlsx&amp;sheet=U0&amp;row=4806&amp;col=7&amp;number=3.93e-06&amp;sourceID=14","3.93e-06")</f>
        <v>3.93e-06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HYPERLINK("http://141.218.60.56/~jnz1568/getInfo.php?workbook=14_06.xlsx&amp;sheet=U0&amp;row=4807&amp;col=6&amp;number=3.3&amp;sourceID=14","3.3")</f>
        <v>3.3</v>
      </c>
      <c r="G4807" s="4" t="str">
        <f>HYPERLINK("http://141.218.60.56/~jnz1568/getInfo.php?workbook=14_06.xlsx&amp;sheet=U0&amp;row=4807&amp;col=7&amp;number=3.93e-06&amp;sourceID=14","3.93e-06")</f>
        <v>3.93e-06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HYPERLINK("http://141.218.60.56/~jnz1568/getInfo.php?workbook=14_06.xlsx&amp;sheet=U0&amp;row=4808&amp;col=6&amp;number=3.4&amp;sourceID=14","3.4")</f>
        <v>3.4</v>
      </c>
      <c r="G4808" s="4" t="str">
        <f>HYPERLINK("http://141.218.60.56/~jnz1568/getInfo.php?workbook=14_06.xlsx&amp;sheet=U0&amp;row=4808&amp;col=7&amp;number=3.93e-06&amp;sourceID=14","3.93e-06")</f>
        <v>3.93e-06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HYPERLINK("http://141.218.60.56/~jnz1568/getInfo.php?workbook=14_06.xlsx&amp;sheet=U0&amp;row=4809&amp;col=6&amp;number=3.5&amp;sourceID=14","3.5")</f>
        <v>3.5</v>
      </c>
      <c r="G4809" s="4" t="str">
        <f>HYPERLINK("http://141.218.60.56/~jnz1568/getInfo.php?workbook=14_06.xlsx&amp;sheet=U0&amp;row=4809&amp;col=7&amp;number=3.93e-06&amp;sourceID=14","3.93e-06")</f>
        <v>3.93e-06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HYPERLINK("http://141.218.60.56/~jnz1568/getInfo.php?workbook=14_06.xlsx&amp;sheet=U0&amp;row=4810&amp;col=6&amp;number=3.6&amp;sourceID=14","3.6")</f>
        <v>3.6</v>
      </c>
      <c r="G4810" s="4" t="str">
        <f>HYPERLINK("http://141.218.60.56/~jnz1568/getInfo.php?workbook=14_06.xlsx&amp;sheet=U0&amp;row=4810&amp;col=7&amp;number=3.93e-06&amp;sourceID=14","3.93e-06")</f>
        <v>3.93e-06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HYPERLINK("http://141.218.60.56/~jnz1568/getInfo.php?workbook=14_06.xlsx&amp;sheet=U0&amp;row=4811&amp;col=6&amp;number=3.7&amp;sourceID=14","3.7")</f>
        <v>3.7</v>
      </c>
      <c r="G4811" s="4" t="str">
        <f>HYPERLINK("http://141.218.60.56/~jnz1568/getInfo.php?workbook=14_06.xlsx&amp;sheet=U0&amp;row=4811&amp;col=7&amp;number=3.93e-06&amp;sourceID=14","3.93e-06")</f>
        <v>3.93e-06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HYPERLINK("http://141.218.60.56/~jnz1568/getInfo.php?workbook=14_06.xlsx&amp;sheet=U0&amp;row=4812&amp;col=6&amp;number=3.8&amp;sourceID=14","3.8")</f>
        <v>3.8</v>
      </c>
      <c r="G4812" s="4" t="str">
        <f>HYPERLINK("http://141.218.60.56/~jnz1568/getInfo.php?workbook=14_06.xlsx&amp;sheet=U0&amp;row=4812&amp;col=7&amp;number=3.92e-06&amp;sourceID=14","3.92e-06")</f>
        <v>3.92e-06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HYPERLINK("http://141.218.60.56/~jnz1568/getInfo.php?workbook=14_06.xlsx&amp;sheet=U0&amp;row=4813&amp;col=6&amp;number=3.9&amp;sourceID=14","3.9")</f>
        <v>3.9</v>
      </c>
      <c r="G4813" s="4" t="str">
        <f>HYPERLINK("http://141.218.60.56/~jnz1568/getInfo.php?workbook=14_06.xlsx&amp;sheet=U0&amp;row=4813&amp;col=7&amp;number=3.92e-06&amp;sourceID=14","3.92e-06")</f>
        <v>3.92e-06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HYPERLINK("http://141.218.60.56/~jnz1568/getInfo.php?workbook=14_06.xlsx&amp;sheet=U0&amp;row=4814&amp;col=6&amp;number=4&amp;sourceID=14","4")</f>
        <v>4</v>
      </c>
      <c r="G4814" s="4" t="str">
        <f>HYPERLINK("http://141.218.60.56/~jnz1568/getInfo.php?workbook=14_06.xlsx&amp;sheet=U0&amp;row=4814&amp;col=7&amp;number=3.92e-06&amp;sourceID=14","3.92e-06")</f>
        <v>3.92e-06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HYPERLINK("http://141.218.60.56/~jnz1568/getInfo.php?workbook=14_06.xlsx&amp;sheet=U0&amp;row=4815&amp;col=6&amp;number=4.1&amp;sourceID=14","4.1")</f>
        <v>4.1</v>
      </c>
      <c r="G4815" s="4" t="str">
        <f>HYPERLINK("http://141.218.60.56/~jnz1568/getInfo.php?workbook=14_06.xlsx&amp;sheet=U0&amp;row=4815&amp;col=7&amp;number=3.91e-06&amp;sourceID=14","3.91e-06")</f>
        <v>3.91e-06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HYPERLINK("http://141.218.60.56/~jnz1568/getInfo.php?workbook=14_06.xlsx&amp;sheet=U0&amp;row=4816&amp;col=6&amp;number=4.2&amp;sourceID=14","4.2")</f>
        <v>4.2</v>
      </c>
      <c r="G4816" s="4" t="str">
        <f>HYPERLINK("http://141.218.60.56/~jnz1568/getInfo.php?workbook=14_06.xlsx&amp;sheet=U0&amp;row=4816&amp;col=7&amp;number=3.91e-06&amp;sourceID=14","3.91e-06")</f>
        <v>3.91e-06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HYPERLINK("http://141.218.60.56/~jnz1568/getInfo.php?workbook=14_06.xlsx&amp;sheet=U0&amp;row=4817&amp;col=6&amp;number=4.3&amp;sourceID=14","4.3")</f>
        <v>4.3</v>
      </c>
      <c r="G4817" s="4" t="str">
        <f>HYPERLINK("http://141.218.60.56/~jnz1568/getInfo.php?workbook=14_06.xlsx&amp;sheet=U0&amp;row=4817&amp;col=7&amp;number=3.9e-06&amp;sourceID=14","3.9e-06")</f>
        <v>3.9e-06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HYPERLINK("http://141.218.60.56/~jnz1568/getInfo.php?workbook=14_06.xlsx&amp;sheet=U0&amp;row=4818&amp;col=6&amp;number=4.4&amp;sourceID=14","4.4")</f>
        <v>4.4</v>
      </c>
      <c r="G4818" s="4" t="str">
        <f>HYPERLINK("http://141.218.60.56/~jnz1568/getInfo.php?workbook=14_06.xlsx&amp;sheet=U0&amp;row=4818&amp;col=7&amp;number=3.9e-06&amp;sourceID=14","3.9e-06")</f>
        <v>3.9e-06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HYPERLINK("http://141.218.60.56/~jnz1568/getInfo.php?workbook=14_06.xlsx&amp;sheet=U0&amp;row=4819&amp;col=6&amp;number=4.5&amp;sourceID=14","4.5")</f>
        <v>4.5</v>
      </c>
      <c r="G4819" s="4" t="str">
        <f>HYPERLINK("http://141.218.60.56/~jnz1568/getInfo.php?workbook=14_06.xlsx&amp;sheet=U0&amp;row=4819&amp;col=7&amp;number=3.89e-06&amp;sourceID=14","3.89e-06")</f>
        <v>3.89e-06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HYPERLINK("http://141.218.60.56/~jnz1568/getInfo.php?workbook=14_06.xlsx&amp;sheet=U0&amp;row=4820&amp;col=6&amp;number=4.6&amp;sourceID=14","4.6")</f>
        <v>4.6</v>
      </c>
      <c r="G4820" s="4" t="str">
        <f>HYPERLINK("http://141.218.60.56/~jnz1568/getInfo.php?workbook=14_06.xlsx&amp;sheet=U0&amp;row=4820&amp;col=7&amp;number=3.88e-06&amp;sourceID=14","3.88e-06")</f>
        <v>3.88e-06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HYPERLINK("http://141.218.60.56/~jnz1568/getInfo.php?workbook=14_06.xlsx&amp;sheet=U0&amp;row=4821&amp;col=6&amp;number=4.7&amp;sourceID=14","4.7")</f>
        <v>4.7</v>
      </c>
      <c r="G4821" s="4" t="str">
        <f>HYPERLINK("http://141.218.60.56/~jnz1568/getInfo.php?workbook=14_06.xlsx&amp;sheet=U0&amp;row=4821&amp;col=7&amp;number=3.86e-06&amp;sourceID=14","3.86e-06")</f>
        <v>3.86e-06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HYPERLINK("http://141.218.60.56/~jnz1568/getInfo.php?workbook=14_06.xlsx&amp;sheet=U0&amp;row=4822&amp;col=6&amp;number=4.8&amp;sourceID=14","4.8")</f>
        <v>4.8</v>
      </c>
      <c r="G4822" s="4" t="str">
        <f>HYPERLINK("http://141.218.60.56/~jnz1568/getInfo.php?workbook=14_06.xlsx&amp;sheet=U0&amp;row=4822&amp;col=7&amp;number=3.85e-06&amp;sourceID=14","3.85e-06")</f>
        <v>3.85e-06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HYPERLINK("http://141.218.60.56/~jnz1568/getInfo.php?workbook=14_06.xlsx&amp;sheet=U0&amp;row=4823&amp;col=6&amp;number=4.9&amp;sourceID=14","4.9")</f>
        <v>4.9</v>
      </c>
      <c r="G4823" s="4" t="str">
        <f>HYPERLINK("http://141.218.60.56/~jnz1568/getInfo.php?workbook=14_06.xlsx&amp;sheet=U0&amp;row=4823&amp;col=7&amp;number=3.83e-06&amp;sourceID=14","3.83e-06")</f>
        <v>3.83e-06</v>
      </c>
    </row>
    <row r="4824" spans="1:7">
      <c r="A4824" s="3">
        <v>14</v>
      </c>
      <c r="B4824" s="3">
        <v>6</v>
      </c>
      <c r="C4824" s="3">
        <v>6</v>
      </c>
      <c r="D4824" s="3">
        <v>37</v>
      </c>
      <c r="E4824" s="3">
        <v>1</v>
      </c>
      <c r="F4824" s="4" t="str">
        <f>HYPERLINK("http://141.218.60.56/~jnz1568/getInfo.php?workbook=14_06.xlsx&amp;sheet=U0&amp;row=4824&amp;col=6&amp;number=3&amp;sourceID=14","3")</f>
        <v>3</v>
      </c>
      <c r="G4824" s="4" t="str">
        <f>HYPERLINK("http://141.218.60.56/~jnz1568/getInfo.php?workbook=14_06.xlsx&amp;sheet=U0&amp;row=4824&amp;col=7&amp;number=3.99e-06&amp;sourceID=14","3.99e-06")</f>
        <v>3.99e-06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HYPERLINK("http://141.218.60.56/~jnz1568/getInfo.php?workbook=14_06.xlsx&amp;sheet=U0&amp;row=4825&amp;col=6&amp;number=3.1&amp;sourceID=14","3.1")</f>
        <v>3.1</v>
      </c>
      <c r="G4825" s="4" t="str">
        <f>HYPERLINK("http://141.218.60.56/~jnz1568/getInfo.php?workbook=14_06.xlsx&amp;sheet=U0&amp;row=4825&amp;col=7&amp;number=3.99e-06&amp;sourceID=14","3.99e-06")</f>
        <v>3.99e-06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HYPERLINK("http://141.218.60.56/~jnz1568/getInfo.php?workbook=14_06.xlsx&amp;sheet=U0&amp;row=4826&amp;col=6&amp;number=3.2&amp;sourceID=14","3.2")</f>
        <v>3.2</v>
      </c>
      <c r="G4826" s="4" t="str">
        <f>HYPERLINK("http://141.218.60.56/~jnz1568/getInfo.php?workbook=14_06.xlsx&amp;sheet=U0&amp;row=4826&amp;col=7&amp;number=3.98e-06&amp;sourceID=14","3.98e-06")</f>
        <v>3.98e-06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HYPERLINK("http://141.218.60.56/~jnz1568/getInfo.php?workbook=14_06.xlsx&amp;sheet=U0&amp;row=4827&amp;col=6&amp;number=3.3&amp;sourceID=14","3.3")</f>
        <v>3.3</v>
      </c>
      <c r="G4827" s="4" t="str">
        <f>HYPERLINK("http://141.218.60.56/~jnz1568/getInfo.php?workbook=14_06.xlsx&amp;sheet=U0&amp;row=4827&amp;col=7&amp;number=3.98e-06&amp;sourceID=14","3.98e-06")</f>
        <v>3.98e-06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HYPERLINK("http://141.218.60.56/~jnz1568/getInfo.php?workbook=14_06.xlsx&amp;sheet=U0&amp;row=4828&amp;col=6&amp;number=3.4&amp;sourceID=14","3.4")</f>
        <v>3.4</v>
      </c>
      <c r="G4828" s="4" t="str">
        <f>HYPERLINK("http://141.218.60.56/~jnz1568/getInfo.php?workbook=14_06.xlsx&amp;sheet=U0&amp;row=4828&amp;col=7&amp;number=3.98e-06&amp;sourceID=14","3.98e-06")</f>
        <v>3.98e-06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HYPERLINK("http://141.218.60.56/~jnz1568/getInfo.php?workbook=14_06.xlsx&amp;sheet=U0&amp;row=4829&amp;col=6&amp;number=3.5&amp;sourceID=14","3.5")</f>
        <v>3.5</v>
      </c>
      <c r="G4829" s="4" t="str">
        <f>HYPERLINK("http://141.218.60.56/~jnz1568/getInfo.php?workbook=14_06.xlsx&amp;sheet=U0&amp;row=4829&amp;col=7&amp;number=3.98e-06&amp;sourceID=14","3.98e-06")</f>
        <v>3.98e-06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HYPERLINK("http://141.218.60.56/~jnz1568/getInfo.php?workbook=14_06.xlsx&amp;sheet=U0&amp;row=4830&amp;col=6&amp;number=3.6&amp;sourceID=14","3.6")</f>
        <v>3.6</v>
      </c>
      <c r="G4830" s="4" t="str">
        <f>HYPERLINK("http://141.218.60.56/~jnz1568/getInfo.php?workbook=14_06.xlsx&amp;sheet=U0&amp;row=4830&amp;col=7&amp;number=3.98e-06&amp;sourceID=14","3.98e-06")</f>
        <v>3.98e-06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HYPERLINK("http://141.218.60.56/~jnz1568/getInfo.php?workbook=14_06.xlsx&amp;sheet=U0&amp;row=4831&amp;col=6&amp;number=3.7&amp;sourceID=14","3.7")</f>
        <v>3.7</v>
      </c>
      <c r="G4831" s="4" t="str">
        <f>HYPERLINK("http://141.218.60.56/~jnz1568/getInfo.php?workbook=14_06.xlsx&amp;sheet=U0&amp;row=4831&amp;col=7&amp;number=3.98e-06&amp;sourceID=14","3.98e-06")</f>
        <v>3.98e-06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HYPERLINK("http://141.218.60.56/~jnz1568/getInfo.php?workbook=14_06.xlsx&amp;sheet=U0&amp;row=4832&amp;col=6&amp;number=3.8&amp;sourceID=14","3.8")</f>
        <v>3.8</v>
      </c>
      <c r="G4832" s="4" t="str">
        <f>HYPERLINK("http://141.218.60.56/~jnz1568/getInfo.php?workbook=14_06.xlsx&amp;sheet=U0&amp;row=4832&amp;col=7&amp;number=3.98e-06&amp;sourceID=14","3.98e-06")</f>
        <v>3.98e-06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HYPERLINK("http://141.218.60.56/~jnz1568/getInfo.php?workbook=14_06.xlsx&amp;sheet=U0&amp;row=4833&amp;col=6&amp;number=3.9&amp;sourceID=14","3.9")</f>
        <v>3.9</v>
      </c>
      <c r="G4833" s="4" t="str">
        <f>HYPERLINK("http://141.218.60.56/~jnz1568/getInfo.php?workbook=14_06.xlsx&amp;sheet=U0&amp;row=4833&amp;col=7&amp;number=3.98e-06&amp;sourceID=14","3.98e-06")</f>
        <v>3.98e-06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HYPERLINK("http://141.218.60.56/~jnz1568/getInfo.php?workbook=14_06.xlsx&amp;sheet=U0&amp;row=4834&amp;col=6&amp;number=4&amp;sourceID=14","4")</f>
        <v>4</v>
      </c>
      <c r="G4834" s="4" t="str">
        <f>HYPERLINK("http://141.218.60.56/~jnz1568/getInfo.php?workbook=14_06.xlsx&amp;sheet=U0&amp;row=4834&amp;col=7&amp;number=3.97e-06&amp;sourceID=14","3.97e-06")</f>
        <v>3.97e-06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HYPERLINK("http://141.218.60.56/~jnz1568/getInfo.php?workbook=14_06.xlsx&amp;sheet=U0&amp;row=4835&amp;col=6&amp;number=4.1&amp;sourceID=14","4.1")</f>
        <v>4.1</v>
      </c>
      <c r="G4835" s="4" t="str">
        <f>HYPERLINK("http://141.218.60.56/~jnz1568/getInfo.php?workbook=14_06.xlsx&amp;sheet=U0&amp;row=4835&amp;col=7&amp;number=3.97e-06&amp;sourceID=14","3.97e-06")</f>
        <v>3.97e-06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HYPERLINK("http://141.218.60.56/~jnz1568/getInfo.php?workbook=14_06.xlsx&amp;sheet=U0&amp;row=4836&amp;col=6&amp;number=4.2&amp;sourceID=14","4.2")</f>
        <v>4.2</v>
      </c>
      <c r="G4836" s="4" t="str">
        <f>HYPERLINK("http://141.218.60.56/~jnz1568/getInfo.php?workbook=14_06.xlsx&amp;sheet=U0&amp;row=4836&amp;col=7&amp;number=3.97e-06&amp;sourceID=14","3.97e-06")</f>
        <v>3.97e-06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HYPERLINK("http://141.218.60.56/~jnz1568/getInfo.php?workbook=14_06.xlsx&amp;sheet=U0&amp;row=4837&amp;col=6&amp;number=4.3&amp;sourceID=14","4.3")</f>
        <v>4.3</v>
      </c>
      <c r="G4837" s="4" t="str">
        <f>HYPERLINK("http://141.218.60.56/~jnz1568/getInfo.php?workbook=14_06.xlsx&amp;sheet=U0&amp;row=4837&amp;col=7&amp;number=3.96e-06&amp;sourceID=14","3.96e-06")</f>
        <v>3.96e-06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HYPERLINK("http://141.218.60.56/~jnz1568/getInfo.php?workbook=14_06.xlsx&amp;sheet=U0&amp;row=4838&amp;col=6&amp;number=4.4&amp;sourceID=14","4.4")</f>
        <v>4.4</v>
      </c>
      <c r="G4838" s="4" t="str">
        <f>HYPERLINK("http://141.218.60.56/~jnz1568/getInfo.php?workbook=14_06.xlsx&amp;sheet=U0&amp;row=4838&amp;col=7&amp;number=3.96e-06&amp;sourceID=14","3.96e-06")</f>
        <v>3.96e-06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HYPERLINK("http://141.218.60.56/~jnz1568/getInfo.php?workbook=14_06.xlsx&amp;sheet=U0&amp;row=4839&amp;col=6&amp;number=4.5&amp;sourceID=14","4.5")</f>
        <v>4.5</v>
      </c>
      <c r="G4839" s="4" t="str">
        <f>HYPERLINK("http://141.218.60.56/~jnz1568/getInfo.php?workbook=14_06.xlsx&amp;sheet=U0&amp;row=4839&amp;col=7&amp;number=3.95e-06&amp;sourceID=14","3.95e-06")</f>
        <v>3.95e-06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HYPERLINK("http://141.218.60.56/~jnz1568/getInfo.php?workbook=14_06.xlsx&amp;sheet=U0&amp;row=4840&amp;col=6&amp;number=4.6&amp;sourceID=14","4.6")</f>
        <v>4.6</v>
      </c>
      <c r="G4840" s="4" t="str">
        <f>HYPERLINK("http://141.218.60.56/~jnz1568/getInfo.php?workbook=14_06.xlsx&amp;sheet=U0&amp;row=4840&amp;col=7&amp;number=3.94e-06&amp;sourceID=14","3.94e-06")</f>
        <v>3.94e-06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HYPERLINK("http://141.218.60.56/~jnz1568/getInfo.php?workbook=14_06.xlsx&amp;sheet=U0&amp;row=4841&amp;col=6&amp;number=4.7&amp;sourceID=14","4.7")</f>
        <v>4.7</v>
      </c>
      <c r="G4841" s="4" t="str">
        <f>HYPERLINK("http://141.218.60.56/~jnz1568/getInfo.php?workbook=14_06.xlsx&amp;sheet=U0&amp;row=4841&amp;col=7&amp;number=3.92e-06&amp;sourceID=14","3.92e-06")</f>
        <v>3.92e-06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HYPERLINK("http://141.218.60.56/~jnz1568/getInfo.php?workbook=14_06.xlsx&amp;sheet=U0&amp;row=4842&amp;col=6&amp;number=4.8&amp;sourceID=14","4.8")</f>
        <v>4.8</v>
      </c>
      <c r="G4842" s="4" t="str">
        <f>HYPERLINK("http://141.218.60.56/~jnz1568/getInfo.php?workbook=14_06.xlsx&amp;sheet=U0&amp;row=4842&amp;col=7&amp;number=3.91e-06&amp;sourceID=14","3.91e-06")</f>
        <v>3.91e-06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HYPERLINK("http://141.218.60.56/~jnz1568/getInfo.php?workbook=14_06.xlsx&amp;sheet=U0&amp;row=4843&amp;col=6&amp;number=4.9&amp;sourceID=14","4.9")</f>
        <v>4.9</v>
      </c>
      <c r="G4843" s="4" t="str">
        <f>HYPERLINK("http://141.218.60.56/~jnz1568/getInfo.php?workbook=14_06.xlsx&amp;sheet=U0&amp;row=4843&amp;col=7&amp;number=3.89e-06&amp;sourceID=14","3.89e-06")</f>
        <v>3.89e-06</v>
      </c>
    </row>
    <row r="4844" spans="1:7">
      <c r="A4844" s="3">
        <v>14</v>
      </c>
      <c r="B4844" s="3">
        <v>6</v>
      </c>
      <c r="C4844" s="3">
        <v>6</v>
      </c>
      <c r="D4844" s="3">
        <v>38</v>
      </c>
      <c r="E4844" s="3">
        <v>1</v>
      </c>
      <c r="F4844" s="4" t="str">
        <f>HYPERLINK("http://141.218.60.56/~jnz1568/getInfo.php?workbook=14_06.xlsx&amp;sheet=U0&amp;row=4844&amp;col=6&amp;number=3&amp;sourceID=14","3")</f>
        <v>3</v>
      </c>
      <c r="G4844" s="4" t="str">
        <f>HYPERLINK("http://141.218.60.56/~jnz1568/getInfo.php?workbook=14_06.xlsx&amp;sheet=U0&amp;row=4844&amp;col=7&amp;number=1.47e-06&amp;sourceID=14","1.47e-06")</f>
        <v>1.47e-06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HYPERLINK("http://141.218.60.56/~jnz1568/getInfo.php?workbook=14_06.xlsx&amp;sheet=U0&amp;row=4845&amp;col=6&amp;number=3.1&amp;sourceID=14","3.1")</f>
        <v>3.1</v>
      </c>
      <c r="G4845" s="4" t="str">
        <f>HYPERLINK("http://141.218.60.56/~jnz1568/getInfo.php?workbook=14_06.xlsx&amp;sheet=U0&amp;row=4845&amp;col=7&amp;number=1.47e-06&amp;sourceID=14","1.47e-06")</f>
        <v>1.47e-06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HYPERLINK("http://141.218.60.56/~jnz1568/getInfo.php?workbook=14_06.xlsx&amp;sheet=U0&amp;row=4846&amp;col=6&amp;number=3.2&amp;sourceID=14","3.2")</f>
        <v>3.2</v>
      </c>
      <c r="G4846" s="4" t="str">
        <f>HYPERLINK("http://141.218.60.56/~jnz1568/getInfo.php?workbook=14_06.xlsx&amp;sheet=U0&amp;row=4846&amp;col=7&amp;number=1.47e-06&amp;sourceID=14","1.47e-06")</f>
        <v>1.47e-06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HYPERLINK("http://141.218.60.56/~jnz1568/getInfo.php?workbook=14_06.xlsx&amp;sheet=U0&amp;row=4847&amp;col=6&amp;number=3.3&amp;sourceID=14","3.3")</f>
        <v>3.3</v>
      </c>
      <c r="G4847" s="4" t="str">
        <f>HYPERLINK("http://141.218.60.56/~jnz1568/getInfo.php?workbook=14_06.xlsx&amp;sheet=U0&amp;row=4847&amp;col=7&amp;number=1.47e-06&amp;sourceID=14","1.47e-06")</f>
        <v>1.47e-06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HYPERLINK("http://141.218.60.56/~jnz1568/getInfo.php?workbook=14_06.xlsx&amp;sheet=U0&amp;row=4848&amp;col=6&amp;number=3.4&amp;sourceID=14","3.4")</f>
        <v>3.4</v>
      </c>
      <c r="G4848" s="4" t="str">
        <f>HYPERLINK("http://141.218.60.56/~jnz1568/getInfo.php?workbook=14_06.xlsx&amp;sheet=U0&amp;row=4848&amp;col=7&amp;number=1.47e-06&amp;sourceID=14","1.47e-06")</f>
        <v>1.47e-06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HYPERLINK("http://141.218.60.56/~jnz1568/getInfo.php?workbook=14_06.xlsx&amp;sheet=U0&amp;row=4849&amp;col=6&amp;number=3.5&amp;sourceID=14","3.5")</f>
        <v>3.5</v>
      </c>
      <c r="G4849" s="4" t="str">
        <f>HYPERLINK("http://141.218.60.56/~jnz1568/getInfo.php?workbook=14_06.xlsx&amp;sheet=U0&amp;row=4849&amp;col=7&amp;number=1.47e-06&amp;sourceID=14","1.47e-06")</f>
        <v>1.47e-06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HYPERLINK("http://141.218.60.56/~jnz1568/getInfo.php?workbook=14_06.xlsx&amp;sheet=U0&amp;row=4850&amp;col=6&amp;number=3.6&amp;sourceID=14","3.6")</f>
        <v>3.6</v>
      </c>
      <c r="G4850" s="4" t="str">
        <f>HYPERLINK("http://141.218.60.56/~jnz1568/getInfo.php?workbook=14_06.xlsx&amp;sheet=U0&amp;row=4850&amp;col=7&amp;number=1.47e-06&amp;sourceID=14","1.47e-06")</f>
        <v>1.47e-06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HYPERLINK("http://141.218.60.56/~jnz1568/getInfo.php?workbook=14_06.xlsx&amp;sheet=U0&amp;row=4851&amp;col=6&amp;number=3.7&amp;sourceID=14","3.7")</f>
        <v>3.7</v>
      </c>
      <c r="G4851" s="4" t="str">
        <f>HYPERLINK("http://141.218.60.56/~jnz1568/getInfo.php?workbook=14_06.xlsx&amp;sheet=U0&amp;row=4851&amp;col=7&amp;number=1.47e-06&amp;sourceID=14","1.47e-06")</f>
        <v>1.47e-06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HYPERLINK("http://141.218.60.56/~jnz1568/getInfo.php?workbook=14_06.xlsx&amp;sheet=U0&amp;row=4852&amp;col=6&amp;number=3.8&amp;sourceID=14","3.8")</f>
        <v>3.8</v>
      </c>
      <c r="G4852" s="4" t="str">
        <f>HYPERLINK("http://141.218.60.56/~jnz1568/getInfo.php?workbook=14_06.xlsx&amp;sheet=U0&amp;row=4852&amp;col=7&amp;number=1.47e-06&amp;sourceID=14","1.47e-06")</f>
        <v>1.47e-06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HYPERLINK("http://141.218.60.56/~jnz1568/getInfo.php?workbook=14_06.xlsx&amp;sheet=U0&amp;row=4853&amp;col=6&amp;number=3.9&amp;sourceID=14","3.9")</f>
        <v>3.9</v>
      </c>
      <c r="G4853" s="4" t="str">
        <f>HYPERLINK("http://141.218.60.56/~jnz1568/getInfo.php?workbook=14_06.xlsx&amp;sheet=U0&amp;row=4853&amp;col=7&amp;number=1.47e-06&amp;sourceID=14","1.47e-06")</f>
        <v>1.47e-06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HYPERLINK("http://141.218.60.56/~jnz1568/getInfo.php?workbook=14_06.xlsx&amp;sheet=U0&amp;row=4854&amp;col=6&amp;number=4&amp;sourceID=14","4")</f>
        <v>4</v>
      </c>
      <c r="G4854" s="4" t="str">
        <f>HYPERLINK("http://141.218.60.56/~jnz1568/getInfo.php?workbook=14_06.xlsx&amp;sheet=U0&amp;row=4854&amp;col=7&amp;number=1.46e-06&amp;sourceID=14","1.46e-06")</f>
        <v>1.46e-06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HYPERLINK("http://141.218.60.56/~jnz1568/getInfo.php?workbook=14_06.xlsx&amp;sheet=U0&amp;row=4855&amp;col=6&amp;number=4.1&amp;sourceID=14","4.1")</f>
        <v>4.1</v>
      </c>
      <c r="G4855" s="4" t="str">
        <f>HYPERLINK("http://141.218.60.56/~jnz1568/getInfo.php?workbook=14_06.xlsx&amp;sheet=U0&amp;row=4855&amp;col=7&amp;number=1.46e-06&amp;sourceID=14","1.46e-06")</f>
        <v>1.46e-06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HYPERLINK("http://141.218.60.56/~jnz1568/getInfo.php?workbook=14_06.xlsx&amp;sheet=U0&amp;row=4856&amp;col=6&amp;number=4.2&amp;sourceID=14","4.2")</f>
        <v>4.2</v>
      </c>
      <c r="G4856" s="4" t="str">
        <f>HYPERLINK("http://141.218.60.56/~jnz1568/getInfo.php?workbook=14_06.xlsx&amp;sheet=U0&amp;row=4856&amp;col=7&amp;number=1.46e-06&amp;sourceID=14","1.46e-06")</f>
        <v>1.46e-06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HYPERLINK("http://141.218.60.56/~jnz1568/getInfo.php?workbook=14_06.xlsx&amp;sheet=U0&amp;row=4857&amp;col=6&amp;number=4.3&amp;sourceID=14","4.3")</f>
        <v>4.3</v>
      </c>
      <c r="G4857" s="4" t="str">
        <f>HYPERLINK("http://141.218.60.56/~jnz1568/getInfo.php?workbook=14_06.xlsx&amp;sheet=U0&amp;row=4857&amp;col=7&amp;number=1.46e-06&amp;sourceID=14","1.46e-06")</f>
        <v>1.46e-06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HYPERLINK("http://141.218.60.56/~jnz1568/getInfo.php?workbook=14_06.xlsx&amp;sheet=U0&amp;row=4858&amp;col=6&amp;number=4.4&amp;sourceID=14","4.4")</f>
        <v>4.4</v>
      </c>
      <c r="G4858" s="4" t="str">
        <f>HYPERLINK("http://141.218.60.56/~jnz1568/getInfo.php?workbook=14_06.xlsx&amp;sheet=U0&amp;row=4858&amp;col=7&amp;number=1.45e-06&amp;sourceID=14","1.45e-06")</f>
        <v>1.45e-06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HYPERLINK("http://141.218.60.56/~jnz1568/getInfo.php?workbook=14_06.xlsx&amp;sheet=U0&amp;row=4859&amp;col=6&amp;number=4.5&amp;sourceID=14","4.5")</f>
        <v>4.5</v>
      </c>
      <c r="G4859" s="4" t="str">
        <f>HYPERLINK("http://141.218.60.56/~jnz1568/getInfo.php?workbook=14_06.xlsx&amp;sheet=U0&amp;row=4859&amp;col=7&amp;number=1.45e-06&amp;sourceID=14","1.45e-06")</f>
        <v>1.45e-06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HYPERLINK("http://141.218.60.56/~jnz1568/getInfo.php?workbook=14_06.xlsx&amp;sheet=U0&amp;row=4860&amp;col=6&amp;number=4.6&amp;sourceID=14","4.6")</f>
        <v>4.6</v>
      </c>
      <c r="G4860" s="4" t="str">
        <f>HYPERLINK("http://141.218.60.56/~jnz1568/getInfo.php?workbook=14_06.xlsx&amp;sheet=U0&amp;row=4860&amp;col=7&amp;number=1.44e-06&amp;sourceID=14","1.44e-06")</f>
        <v>1.44e-06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HYPERLINK("http://141.218.60.56/~jnz1568/getInfo.php?workbook=14_06.xlsx&amp;sheet=U0&amp;row=4861&amp;col=6&amp;number=4.7&amp;sourceID=14","4.7")</f>
        <v>4.7</v>
      </c>
      <c r="G4861" s="4" t="str">
        <f>HYPERLINK("http://141.218.60.56/~jnz1568/getInfo.php?workbook=14_06.xlsx&amp;sheet=U0&amp;row=4861&amp;col=7&amp;number=1.44e-06&amp;sourceID=14","1.44e-06")</f>
        <v>1.44e-06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HYPERLINK("http://141.218.60.56/~jnz1568/getInfo.php?workbook=14_06.xlsx&amp;sheet=U0&amp;row=4862&amp;col=6&amp;number=4.8&amp;sourceID=14","4.8")</f>
        <v>4.8</v>
      </c>
      <c r="G4862" s="4" t="str">
        <f>HYPERLINK("http://141.218.60.56/~jnz1568/getInfo.php?workbook=14_06.xlsx&amp;sheet=U0&amp;row=4862&amp;col=7&amp;number=1.43e-06&amp;sourceID=14","1.43e-06")</f>
        <v>1.43e-06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HYPERLINK("http://141.218.60.56/~jnz1568/getInfo.php?workbook=14_06.xlsx&amp;sheet=U0&amp;row=4863&amp;col=6&amp;number=4.9&amp;sourceID=14","4.9")</f>
        <v>4.9</v>
      </c>
      <c r="G4863" s="4" t="str">
        <f>HYPERLINK("http://141.218.60.56/~jnz1568/getInfo.php?workbook=14_06.xlsx&amp;sheet=U0&amp;row=4863&amp;col=7&amp;number=1.42e-06&amp;sourceID=14","1.42e-06")</f>
        <v>1.42e-06</v>
      </c>
    </row>
    <row r="4864" spans="1:7">
      <c r="A4864" s="3">
        <v>14</v>
      </c>
      <c r="B4864" s="3">
        <v>6</v>
      </c>
      <c r="C4864" s="3">
        <v>6</v>
      </c>
      <c r="D4864" s="3">
        <v>39</v>
      </c>
      <c r="E4864" s="3">
        <v>1</v>
      </c>
      <c r="F4864" s="4" t="str">
        <f>HYPERLINK("http://141.218.60.56/~jnz1568/getInfo.php?workbook=14_06.xlsx&amp;sheet=U0&amp;row=4864&amp;col=6&amp;number=3&amp;sourceID=14","3")</f>
        <v>3</v>
      </c>
      <c r="G4864" s="4" t="str">
        <f>HYPERLINK("http://141.218.60.56/~jnz1568/getInfo.php?workbook=14_06.xlsx&amp;sheet=U0&amp;row=4864&amp;col=7&amp;number=0.000128&amp;sourceID=14","0.000128")</f>
        <v>0.000128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HYPERLINK("http://141.218.60.56/~jnz1568/getInfo.php?workbook=14_06.xlsx&amp;sheet=U0&amp;row=4865&amp;col=6&amp;number=3.1&amp;sourceID=14","3.1")</f>
        <v>3.1</v>
      </c>
      <c r="G4865" s="4" t="str">
        <f>HYPERLINK("http://141.218.60.56/~jnz1568/getInfo.php?workbook=14_06.xlsx&amp;sheet=U0&amp;row=4865&amp;col=7&amp;number=0.000128&amp;sourceID=14","0.000128")</f>
        <v>0.000128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HYPERLINK("http://141.218.60.56/~jnz1568/getInfo.php?workbook=14_06.xlsx&amp;sheet=U0&amp;row=4866&amp;col=6&amp;number=3.2&amp;sourceID=14","3.2")</f>
        <v>3.2</v>
      </c>
      <c r="G4866" s="4" t="str">
        <f>HYPERLINK("http://141.218.60.56/~jnz1568/getInfo.php?workbook=14_06.xlsx&amp;sheet=U0&amp;row=4866&amp;col=7&amp;number=0.000128&amp;sourceID=14","0.000128")</f>
        <v>0.000128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HYPERLINK("http://141.218.60.56/~jnz1568/getInfo.php?workbook=14_06.xlsx&amp;sheet=U0&amp;row=4867&amp;col=6&amp;number=3.3&amp;sourceID=14","3.3")</f>
        <v>3.3</v>
      </c>
      <c r="G4867" s="4" t="str">
        <f>HYPERLINK("http://141.218.60.56/~jnz1568/getInfo.php?workbook=14_06.xlsx&amp;sheet=U0&amp;row=4867&amp;col=7&amp;number=0.000128&amp;sourceID=14","0.000128")</f>
        <v>0.000128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HYPERLINK("http://141.218.60.56/~jnz1568/getInfo.php?workbook=14_06.xlsx&amp;sheet=U0&amp;row=4868&amp;col=6&amp;number=3.4&amp;sourceID=14","3.4")</f>
        <v>3.4</v>
      </c>
      <c r="G4868" s="4" t="str">
        <f>HYPERLINK("http://141.218.60.56/~jnz1568/getInfo.php?workbook=14_06.xlsx&amp;sheet=U0&amp;row=4868&amp;col=7&amp;number=0.000128&amp;sourceID=14","0.000128")</f>
        <v>0.000128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HYPERLINK("http://141.218.60.56/~jnz1568/getInfo.php?workbook=14_06.xlsx&amp;sheet=U0&amp;row=4869&amp;col=6&amp;number=3.5&amp;sourceID=14","3.5")</f>
        <v>3.5</v>
      </c>
      <c r="G4869" s="4" t="str">
        <f>HYPERLINK("http://141.218.60.56/~jnz1568/getInfo.php?workbook=14_06.xlsx&amp;sheet=U0&amp;row=4869&amp;col=7&amp;number=0.000128&amp;sourceID=14","0.000128")</f>
        <v>0.000128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HYPERLINK("http://141.218.60.56/~jnz1568/getInfo.php?workbook=14_06.xlsx&amp;sheet=U0&amp;row=4870&amp;col=6&amp;number=3.6&amp;sourceID=14","3.6")</f>
        <v>3.6</v>
      </c>
      <c r="G4870" s="4" t="str">
        <f>HYPERLINK("http://141.218.60.56/~jnz1568/getInfo.php?workbook=14_06.xlsx&amp;sheet=U0&amp;row=4870&amp;col=7&amp;number=0.000128&amp;sourceID=14","0.000128")</f>
        <v>0.000128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HYPERLINK("http://141.218.60.56/~jnz1568/getInfo.php?workbook=14_06.xlsx&amp;sheet=U0&amp;row=4871&amp;col=6&amp;number=3.7&amp;sourceID=14","3.7")</f>
        <v>3.7</v>
      </c>
      <c r="G4871" s="4" t="str">
        <f>HYPERLINK("http://141.218.60.56/~jnz1568/getInfo.php?workbook=14_06.xlsx&amp;sheet=U0&amp;row=4871&amp;col=7&amp;number=0.000127&amp;sourceID=14","0.000127")</f>
        <v>0.000127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HYPERLINK("http://141.218.60.56/~jnz1568/getInfo.php?workbook=14_06.xlsx&amp;sheet=U0&amp;row=4872&amp;col=6&amp;number=3.8&amp;sourceID=14","3.8")</f>
        <v>3.8</v>
      </c>
      <c r="G4872" s="4" t="str">
        <f>HYPERLINK("http://141.218.60.56/~jnz1568/getInfo.php?workbook=14_06.xlsx&amp;sheet=U0&amp;row=4872&amp;col=7&amp;number=0.000127&amp;sourceID=14","0.000127")</f>
        <v>0.000127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HYPERLINK("http://141.218.60.56/~jnz1568/getInfo.php?workbook=14_06.xlsx&amp;sheet=U0&amp;row=4873&amp;col=6&amp;number=3.9&amp;sourceID=14","3.9")</f>
        <v>3.9</v>
      </c>
      <c r="G4873" s="4" t="str">
        <f>HYPERLINK("http://141.218.60.56/~jnz1568/getInfo.php?workbook=14_06.xlsx&amp;sheet=U0&amp;row=4873&amp;col=7&amp;number=0.000127&amp;sourceID=14","0.000127")</f>
        <v>0.000127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HYPERLINK("http://141.218.60.56/~jnz1568/getInfo.php?workbook=14_06.xlsx&amp;sheet=U0&amp;row=4874&amp;col=6&amp;number=4&amp;sourceID=14","4")</f>
        <v>4</v>
      </c>
      <c r="G4874" s="4" t="str">
        <f>HYPERLINK("http://141.218.60.56/~jnz1568/getInfo.php?workbook=14_06.xlsx&amp;sheet=U0&amp;row=4874&amp;col=7&amp;number=0.000127&amp;sourceID=14","0.000127")</f>
        <v>0.000127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HYPERLINK("http://141.218.60.56/~jnz1568/getInfo.php?workbook=14_06.xlsx&amp;sheet=U0&amp;row=4875&amp;col=6&amp;number=4.1&amp;sourceID=14","4.1")</f>
        <v>4.1</v>
      </c>
      <c r="G4875" s="4" t="str">
        <f>HYPERLINK("http://141.218.60.56/~jnz1568/getInfo.php?workbook=14_06.xlsx&amp;sheet=U0&amp;row=4875&amp;col=7&amp;number=0.000127&amp;sourceID=14","0.000127")</f>
        <v>0.000127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HYPERLINK("http://141.218.60.56/~jnz1568/getInfo.php?workbook=14_06.xlsx&amp;sheet=U0&amp;row=4876&amp;col=6&amp;number=4.2&amp;sourceID=14","4.2")</f>
        <v>4.2</v>
      </c>
      <c r="G4876" s="4" t="str">
        <f>HYPERLINK("http://141.218.60.56/~jnz1568/getInfo.php?workbook=14_06.xlsx&amp;sheet=U0&amp;row=4876&amp;col=7&amp;number=0.000127&amp;sourceID=14","0.000127")</f>
        <v>0.000127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HYPERLINK("http://141.218.60.56/~jnz1568/getInfo.php?workbook=14_06.xlsx&amp;sheet=U0&amp;row=4877&amp;col=6&amp;number=4.3&amp;sourceID=14","4.3")</f>
        <v>4.3</v>
      </c>
      <c r="G4877" s="4" t="str">
        <f>HYPERLINK("http://141.218.60.56/~jnz1568/getInfo.php?workbook=14_06.xlsx&amp;sheet=U0&amp;row=4877&amp;col=7&amp;number=0.000127&amp;sourceID=14","0.000127")</f>
        <v>0.000127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HYPERLINK("http://141.218.60.56/~jnz1568/getInfo.php?workbook=14_06.xlsx&amp;sheet=U0&amp;row=4878&amp;col=6&amp;number=4.4&amp;sourceID=14","4.4")</f>
        <v>4.4</v>
      </c>
      <c r="G4878" s="4" t="str">
        <f>HYPERLINK("http://141.218.60.56/~jnz1568/getInfo.php?workbook=14_06.xlsx&amp;sheet=U0&amp;row=4878&amp;col=7&amp;number=0.000127&amp;sourceID=14","0.000127")</f>
        <v>0.000127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HYPERLINK("http://141.218.60.56/~jnz1568/getInfo.php?workbook=14_06.xlsx&amp;sheet=U0&amp;row=4879&amp;col=6&amp;number=4.5&amp;sourceID=14","4.5")</f>
        <v>4.5</v>
      </c>
      <c r="G4879" s="4" t="str">
        <f>HYPERLINK("http://141.218.60.56/~jnz1568/getInfo.php?workbook=14_06.xlsx&amp;sheet=U0&amp;row=4879&amp;col=7&amp;number=0.000126&amp;sourceID=14","0.000126")</f>
        <v>0.000126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HYPERLINK("http://141.218.60.56/~jnz1568/getInfo.php?workbook=14_06.xlsx&amp;sheet=U0&amp;row=4880&amp;col=6&amp;number=4.6&amp;sourceID=14","4.6")</f>
        <v>4.6</v>
      </c>
      <c r="G4880" s="4" t="str">
        <f>HYPERLINK("http://141.218.60.56/~jnz1568/getInfo.php?workbook=14_06.xlsx&amp;sheet=U0&amp;row=4880&amp;col=7&amp;number=0.000126&amp;sourceID=14","0.000126")</f>
        <v>0.000126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HYPERLINK("http://141.218.60.56/~jnz1568/getInfo.php?workbook=14_06.xlsx&amp;sheet=U0&amp;row=4881&amp;col=6&amp;number=4.7&amp;sourceID=14","4.7")</f>
        <v>4.7</v>
      </c>
      <c r="G4881" s="4" t="str">
        <f>HYPERLINK("http://141.218.60.56/~jnz1568/getInfo.php?workbook=14_06.xlsx&amp;sheet=U0&amp;row=4881&amp;col=7&amp;number=0.000125&amp;sourceID=14","0.000125")</f>
        <v>0.000125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HYPERLINK("http://141.218.60.56/~jnz1568/getInfo.php?workbook=14_06.xlsx&amp;sheet=U0&amp;row=4882&amp;col=6&amp;number=4.8&amp;sourceID=14","4.8")</f>
        <v>4.8</v>
      </c>
      <c r="G4882" s="4" t="str">
        <f>HYPERLINK("http://141.218.60.56/~jnz1568/getInfo.php?workbook=14_06.xlsx&amp;sheet=U0&amp;row=4882&amp;col=7&amp;number=0.000125&amp;sourceID=14","0.000125")</f>
        <v>0.000125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HYPERLINK("http://141.218.60.56/~jnz1568/getInfo.php?workbook=14_06.xlsx&amp;sheet=U0&amp;row=4883&amp;col=6&amp;number=4.9&amp;sourceID=14","4.9")</f>
        <v>4.9</v>
      </c>
      <c r="G4883" s="4" t="str">
        <f>HYPERLINK("http://141.218.60.56/~jnz1568/getInfo.php?workbook=14_06.xlsx&amp;sheet=U0&amp;row=4883&amp;col=7&amp;number=0.000124&amp;sourceID=14","0.000124")</f>
        <v>0.000124</v>
      </c>
    </row>
    <row r="4884" spans="1:7">
      <c r="A4884" s="3">
        <v>14</v>
      </c>
      <c r="B4884" s="3">
        <v>6</v>
      </c>
      <c r="C4884" s="3">
        <v>6</v>
      </c>
      <c r="D4884" s="3">
        <v>40</v>
      </c>
      <c r="E4884" s="3">
        <v>1</v>
      </c>
      <c r="F4884" s="4" t="str">
        <f>HYPERLINK("http://141.218.60.56/~jnz1568/getInfo.php?workbook=14_06.xlsx&amp;sheet=U0&amp;row=4884&amp;col=6&amp;number=3&amp;sourceID=14","3")</f>
        <v>3</v>
      </c>
      <c r="G4884" s="4" t="str">
        <f>HYPERLINK("http://141.218.60.56/~jnz1568/getInfo.php?workbook=14_06.xlsx&amp;sheet=U0&amp;row=4884&amp;col=7&amp;number=0.000196&amp;sourceID=14","0.000196")</f>
        <v>0.000196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HYPERLINK("http://141.218.60.56/~jnz1568/getInfo.php?workbook=14_06.xlsx&amp;sheet=U0&amp;row=4885&amp;col=6&amp;number=3.1&amp;sourceID=14","3.1")</f>
        <v>3.1</v>
      </c>
      <c r="G4885" s="4" t="str">
        <f>HYPERLINK("http://141.218.60.56/~jnz1568/getInfo.php?workbook=14_06.xlsx&amp;sheet=U0&amp;row=4885&amp;col=7&amp;number=0.000196&amp;sourceID=14","0.000196")</f>
        <v>0.000196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HYPERLINK("http://141.218.60.56/~jnz1568/getInfo.php?workbook=14_06.xlsx&amp;sheet=U0&amp;row=4886&amp;col=6&amp;number=3.2&amp;sourceID=14","3.2")</f>
        <v>3.2</v>
      </c>
      <c r="G4886" s="4" t="str">
        <f>HYPERLINK("http://141.218.60.56/~jnz1568/getInfo.php?workbook=14_06.xlsx&amp;sheet=U0&amp;row=4886&amp;col=7&amp;number=0.000196&amp;sourceID=14","0.000196")</f>
        <v>0.000196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HYPERLINK("http://141.218.60.56/~jnz1568/getInfo.php?workbook=14_06.xlsx&amp;sheet=U0&amp;row=4887&amp;col=6&amp;number=3.3&amp;sourceID=14","3.3")</f>
        <v>3.3</v>
      </c>
      <c r="G4887" s="4" t="str">
        <f>HYPERLINK("http://141.218.60.56/~jnz1568/getInfo.php?workbook=14_06.xlsx&amp;sheet=U0&amp;row=4887&amp;col=7&amp;number=0.000196&amp;sourceID=14","0.000196")</f>
        <v>0.000196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HYPERLINK("http://141.218.60.56/~jnz1568/getInfo.php?workbook=14_06.xlsx&amp;sheet=U0&amp;row=4888&amp;col=6&amp;number=3.4&amp;sourceID=14","3.4")</f>
        <v>3.4</v>
      </c>
      <c r="G4888" s="4" t="str">
        <f>HYPERLINK("http://141.218.60.56/~jnz1568/getInfo.php?workbook=14_06.xlsx&amp;sheet=U0&amp;row=4888&amp;col=7&amp;number=0.000196&amp;sourceID=14","0.000196")</f>
        <v>0.000196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HYPERLINK("http://141.218.60.56/~jnz1568/getInfo.php?workbook=14_06.xlsx&amp;sheet=U0&amp;row=4889&amp;col=6&amp;number=3.5&amp;sourceID=14","3.5")</f>
        <v>3.5</v>
      </c>
      <c r="G4889" s="4" t="str">
        <f>HYPERLINK("http://141.218.60.56/~jnz1568/getInfo.php?workbook=14_06.xlsx&amp;sheet=U0&amp;row=4889&amp;col=7&amp;number=0.000196&amp;sourceID=14","0.000196")</f>
        <v>0.000196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HYPERLINK("http://141.218.60.56/~jnz1568/getInfo.php?workbook=14_06.xlsx&amp;sheet=U0&amp;row=4890&amp;col=6&amp;number=3.6&amp;sourceID=14","3.6")</f>
        <v>3.6</v>
      </c>
      <c r="G4890" s="4" t="str">
        <f>HYPERLINK("http://141.218.60.56/~jnz1568/getInfo.php?workbook=14_06.xlsx&amp;sheet=U0&amp;row=4890&amp;col=7&amp;number=0.000196&amp;sourceID=14","0.000196")</f>
        <v>0.000196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HYPERLINK("http://141.218.60.56/~jnz1568/getInfo.php?workbook=14_06.xlsx&amp;sheet=U0&amp;row=4891&amp;col=6&amp;number=3.7&amp;sourceID=14","3.7")</f>
        <v>3.7</v>
      </c>
      <c r="G4891" s="4" t="str">
        <f>HYPERLINK("http://141.218.60.56/~jnz1568/getInfo.php?workbook=14_06.xlsx&amp;sheet=U0&amp;row=4891&amp;col=7&amp;number=0.000196&amp;sourceID=14","0.000196")</f>
        <v>0.000196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HYPERLINK("http://141.218.60.56/~jnz1568/getInfo.php?workbook=14_06.xlsx&amp;sheet=U0&amp;row=4892&amp;col=6&amp;number=3.8&amp;sourceID=14","3.8")</f>
        <v>3.8</v>
      </c>
      <c r="G4892" s="4" t="str">
        <f>HYPERLINK("http://141.218.60.56/~jnz1568/getInfo.php?workbook=14_06.xlsx&amp;sheet=U0&amp;row=4892&amp;col=7&amp;number=0.000196&amp;sourceID=14","0.000196")</f>
        <v>0.000196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HYPERLINK("http://141.218.60.56/~jnz1568/getInfo.php?workbook=14_06.xlsx&amp;sheet=U0&amp;row=4893&amp;col=6&amp;number=3.9&amp;sourceID=14","3.9")</f>
        <v>3.9</v>
      </c>
      <c r="G4893" s="4" t="str">
        <f>HYPERLINK("http://141.218.60.56/~jnz1568/getInfo.php?workbook=14_06.xlsx&amp;sheet=U0&amp;row=4893&amp;col=7&amp;number=0.000196&amp;sourceID=14","0.000196")</f>
        <v>0.000196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HYPERLINK("http://141.218.60.56/~jnz1568/getInfo.php?workbook=14_06.xlsx&amp;sheet=U0&amp;row=4894&amp;col=6&amp;number=4&amp;sourceID=14","4")</f>
        <v>4</v>
      </c>
      <c r="G4894" s="4" t="str">
        <f>HYPERLINK("http://141.218.60.56/~jnz1568/getInfo.php?workbook=14_06.xlsx&amp;sheet=U0&amp;row=4894&amp;col=7&amp;number=0.000196&amp;sourceID=14","0.000196")</f>
        <v>0.000196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HYPERLINK("http://141.218.60.56/~jnz1568/getInfo.php?workbook=14_06.xlsx&amp;sheet=U0&amp;row=4895&amp;col=6&amp;number=4.1&amp;sourceID=14","4.1")</f>
        <v>4.1</v>
      </c>
      <c r="G4895" s="4" t="str">
        <f>HYPERLINK("http://141.218.60.56/~jnz1568/getInfo.php?workbook=14_06.xlsx&amp;sheet=U0&amp;row=4895&amp;col=7&amp;number=0.000195&amp;sourceID=14","0.000195")</f>
        <v>0.000195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HYPERLINK("http://141.218.60.56/~jnz1568/getInfo.php?workbook=14_06.xlsx&amp;sheet=U0&amp;row=4896&amp;col=6&amp;number=4.2&amp;sourceID=14","4.2")</f>
        <v>4.2</v>
      </c>
      <c r="G4896" s="4" t="str">
        <f>HYPERLINK("http://141.218.60.56/~jnz1568/getInfo.php?workbook=14_06.xlsx&amp;sheet=U0&amp;row=4896&amp;col=7&amp;number=0.000195&amp;sourceID=14","0.000195")</f>
        <v>0.000195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HYPERLINK("http://141.218.60.56/~jnz1568/getInfo.php?workbook=14_06.xlsx&amp;sheet=U0&amp;row=4897&amp;col=6&amp;number=4.3&amp;sourceID=14","4.3")</f>
        <v>4.3</v>
      </c>
      <c r="G4897" s="4" t="str">
        <f>HYPERLINK("http://141.218.60.56/~jnz1568/getInfo.php?workbook=14_06.xlsx&amp;sheet=U0&amp;row=4897&amp;col=7&amp;number=0.000195&amp;sourceID=14","0.000195")</f>
        <v>0.000195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HYPERLINK("http://141.218.60.56/~jnz1568/getInfo.php?workbook=14_06.xlsx&amp;sheet=U0&amp;row=4898&amp;col=6&amp;number=4.4&amp;sourceID=14","4.4")</f>
        <v>4.4</v>
      </c>
      <c r="G4898" s="4" t="str">
        <f>HYPERLINK("http://141.218.60.56/~jnz1568/getInfo.php?workbook=14_06.xlsx&amp;sheet=U0&amp;row=4898&amp;col=7&amp;number=0.000195&amp;sourceID=14","0.000195")</f>
        <v>0.000195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HYPERLINK("http://141.218.60.56/~jnz1568/getInfo.php?workbook=14_06.xlsx&amp;sheet=U0&amp;row=4899&amp;col=6&amp;number=4.5&amp;sourceID=14","4.5")</f>
        <v>4.5</v>
      </c>
      <c r="G4899" s="4" t="str">
        <f>HYPERLINK("http://141.218.60.56/~jnz1568/getInfo.php?workbook=14_06.xlsx&amp;sheet=U0&amp;row=4899&amp;col=7&amp;number=0.000194&amp;sourceID=14","0.000194")</f>
        <v>0.000194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HYPERLINK("http://141.218.60.56/~jnz1568/getInfo.php?workbook=14_06.xlsx&amp;sheet=U0&amp;row=4900&amp;col=6&amp;number=4.6&amp;sourceID=14","4.6")</f>
        <v>4.6</v>
      </c>
      <c r="G4900" s="4" t="str">
        <f>HYPERLINK("http://141.218.60.56/~jnz1568/getInfo.php?workbook=14_06.xlsx&amp;sheet=U0&amp;row=4900&amp;col=7&amp;number=0.000194&amp;sourceID=14","0.000194")</f>
        <v>0.000194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HYPERLINK("http://141.218.60.56/~jnz1568/getInfo.php?workbook=14_06.xlsx&amp;sheet=U0&amp;row=4901&amp;col=6&amp;number=4.7&amp;sourceID=14","4.7")</f>
        <v>4.7</v>
      </c>
      <c r="G4901" s="4" t="str">
        <f>HYPERLINK("http://141.218.60.56/~jnz1568/getInfo.php?workbook=14_06.xlsx&amp;sheet=U0&amp;row=4901&amp;col=7&amp;number=0.000193&amp;sourceID=14","0.000193")</f>
        <v>0.000193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HYPERLINK("http://141.218.60.56/~jnz1568/getInfo.php?workbook=14_06.xlsx&amp;sheet=U0&amp;row=4902&amp;col=6&amp;number=4.8&amp;sourceID=14","4.8")</f>
        <v>4.8</v>
      </c>
      <c r="G4902" s="4" t="str">
        <f>HYPERLINK("http://141.218.60.56/~jnz1568/getInfo.php?workbook=14_06.xlsx&amp;sheet=U0&amp;row=4902&amp;col=7&amp;number=0.000192&amp;sourceID=14","0.000192")</f>
        <v>0.000192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HYPERLINK("http://141.218.60.56/~jnz1568/getInfo.php?workbook=14_06.xlsx&amp;sheet=U0&amp;row=4903&amp;col=6&amp;number=4.9&amp;sourceID=14","4.9")</f>
        <v>4.9</v>
      </c>
      <c r="G4903" s="4" t="str">
        <f>HYPERLINK("http://141.218.60.56/~jnz1568/getInfo.php?workbook=14_06.xlsx&amp;sheet=U0&amp;row=4903&amp;col=7&amp;number=0.000191&amp;sourceID=14","0.000191")</f>
        <v>0.000191</v>
      </c>
    </row>
    <row r="4904" spans="1:7">
      <c r="A4904" s="3">
        <v>14</v>
      </c>
      <c r="B4904" s="3">
        <v>6</v>
      </c>
      <c r="C4904" s="3">
        <v>6</v>
      </c>
      <c r="D4904" s="3">
        <v>41</v>
      </c>
      <c r="E4904" s="3">
        <v>1</v>
      </c>
      <c r="F4904" s="4" t="str">
        <f>HYPERLINK("http://141.218.60.56/~jnz1568/getInfo.php?workbook=14_06.xlsx&amp;sheet=U0&amp;row=4904&amp;col=6&amp;number=3&amp;sourceID=14","3")</f>
        <v>3</v>
      </c>
      <c r="G4904" s="4" t="str">
        <f>HYPERLINK("http://141.218.60.56/~jnz1568/getInfo.php?workbook=14_06.xlsx&amp;sheet=U0&amp;row=4904&amp;col=7&amp;number=0.000304&amp;sourceID=14","0.000304")</f>
        <v>0.000304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HYPERLINK("http://141.218.60.56/~jnz1568/getInfo.php?workbook=14_06.xlsx&amp;sheet=U0&amp;row=4905&amp;col=6&amp;number=3.1&amp;sourceID=14","3.1")</f>
        <v>3.1</v>
      </c>
      <c r="G4905" s="4" t="str">
        <f>HYPERLINK("http://141.218.60.56/~jnz1568/getInfo.php?workbook=14_06.xlsx&amp;sheet=U0&amp;row=4905&amp;col=7&amp;number=0.000304&amp;sourceID=14","0.000304")</f>
        <v>0.000304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HYPERLINK("http://141.218.60.56/~jnz1568/getInfo.php?workbook=14_06.xlsx&amp;sheet=U0&amp;row=4906&amp;col=6&amp;number=3.2&amp;sourceID=14","3.2")</f>
        <v>3.2</v>
      </c>
      <c r="G4906" s="4" t="str">
        <f>HYPERLINK("http://141.218.60.56/~jnz1568/getInfo.php?workbook=14_06.xlsx&amp;sheet=U0&amp;row=4906&amp;col=7&amp;number=0.000304&amp;sourceID=14","0.000304")</f>
        <v>0.000304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HYPERLINK("http://141.218.60.56/~jnz1568/getInfo.php?workbook=14_06.xlsx&amp;sheet=U0&amp;row=4907&amp;col=6&amp;number=3.3&amp;sourceID=14","3.3")</f>
        <v>3.3</v>
      </c>
      <c r="G4907" s="4" t="str">
        <f>HYPERLINK("http://141.218.60.56/~jnz1568/getInfo.php?workbook=14_06.xlsx&amp;sheet=U0&amp;row=4907&amp;col=7&amp;number=0.000304&amp;sourceID=14","0.000304")</f>
        <v>0.000304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HYPERLINK("http://141.218.60.56/~jnz1568/getInfo.php?workbook=14_06.xlsx&amp;sheet=U0&amp;row=4908&amp;col=6&amp;number=3.4&amp;sourceID=14","3.4")</f>
        <v>3.4</v>
      </c>
      <c r="G4908" s="4" t="str">
        <f>HYPERLINK("http://141.218.60.56/~jnz1568/getInfo.php?workbook=14_06.xlsx&amp;sheet=U0&amp;row=4908&amp;col=7&amp;number=0.000304&amp;sourceID=14","0.000304")</f>
        <v>0.000304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HYPERLINK("http://141.218.60.56/~jnz1568/getInfo.php?workbook=14_06.xlsx&amp;sheet=U0&amp;row=4909&amp;col=6&amp;number=3.5&amp;sourceID=14","3.5")</f>
        <v>3.5</v>
      </c>
      <c r="G4909" s="4" t="str">
        <f>HYPERLINK("http://141.218.60.56/~jnz1568/getInfo.php?workbook=14_06.xlsx&amp;sheet=U0&amp;row=4909&amp;col=7&amp;number=0.000304&amp;sourceID=14","0.000304")</f>
        <v>0.000304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HYPERLINK("http://141.218.60.56/~jnz1568/getInfo.php?workbook=14_06.xlsx&amp;sheet=U0&amp;row=4910&amp;col=6&amp;number=3.6&amp;sourceID=14","3.6")</f>
        <v>3.6</v>
      </c>
      <c r="G4910" s="4" t="str">
        <f>HYPERLINK("http://141.218.60.56/~jnz1568/getInfo.php?workbook=14_06.xlsx&amp;sheet=U0&amp;row=4910&amp;col=7&amp;number=0.000304&amp;sourceID=14","0.000304")</f>
        <v>0.000304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HYPERLINK("http://141.218.60.56/~jnz1568/getInfo.php?workbook=14_06.xlsx&amp;sheet=U0&amp;row=4911&amp;col=6&amp;number=3.7&amp;sourceID=14","3.7")</f>
        <v>3.7</v>
      </c>
      <c r="G4911" s="4" t="str">
        <f>HYPERLINK("http://141.218.60.56/~jnz1568/getInfo.php?workbook=14_06.xlsx&amp;sheet=U0&amp;row=4911&amp;col=7&amp;number=0.000304&amp;sourceID=14","0.000304")</f>
        <v>0.000304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HYPERLINK("http://141.218.60.56/~jnz1568/getInfo.php?workbook=14_06.xlsx&amp;sheet=U0&amp;row=4912&amp;col=6&amp;number=3.8&amp;sourceID=14","3.8")</f>
        <v>3.8</v>
      </c>
      <c r="G4912" s="4" t="str">
        <f>HYPERLINK("http://141.218.60.56/~jnz1568/getInfo.php?workbook=14_06.xlsx&amp;sheet=U0&amp;row=4912&amp;col=7&amp;number=0.000304&amp;sourceID=14","0.000304")</f>
        <v>0.000304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HYPERLINK("http://141.218.60.56/~jnz1568/getInfo.php?workbook=14_06.xlsx&amp;sheet=U0&amp;row=4913&amp;col=6&amp;number=3.9&amp;sourceID=14","3.9")</f>
        <v>3.9</v>
      </c>
      <c r="G4913" s="4" t="str">
        <f>HYPERLINK("http://141.218.60.56/~jnz1568/getInfo.php?workbook=14_06.xlsx&amp;sheet=U0&amp;row=4913&amp;col=7&amp;number=0.000304&amp;sourceID=14","0.000304")</f>
        <v>0.000304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HYPERLINK("http://141.218.60.56/~jnz1568/getInfo.php?workbook=14_06.xlsx&amp;sheet=U0&amp;row=4914&amp;col=6&amp;number=4&amp;sourceID=14","4")</f>
        <v>4</v>
      </c>
      <c r="G4914" s="4" t="str">
        <f>HYPERLINK("http://141.218.60.56/~jnz1568/getInfo.php?workbook=14_06.xlsx&amp;sheet=U0&amp;row=4914&amp;col=7&amp;number=0.000303&amp;sourceID=14","0.000303")</f>
        <v>0.000303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HYPERLINK("http://141.218.60.56/~jnz1568/getInfo.php?workbook=14_06.xlsx&amp;sheet=U0&amp;row=4915&amp;col=6&amp;number=4.1&amp;sourceID=14","4.1")</f>
        <v>4.1</v>
      </c>
      <c r="G4915" s="4" t="str">
        <f>HYPERLINK("http://141.218.60.56/~jnz1568/getInfo.php?workbook=14_06.xlsx&amp;sheet=U0&amp;row=4915&amp;col=7&amp;number=0.000303&amp;sourceID=14","0.000303")</f>
        <v>0.000303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HYPERLINK("http://141.218.60.56/~jnz1568/getInfo.php?workbook=14_06.xlsx&amp;sheet=U0&amp;row=4916&amp;col=6&amp;number=4.2&amp;sourceID=14","4.2")</f>
        <v>4.2</v>
      </c>
      <c r="G4916" s="4" t="str">
        <f>HYPERLINK("http://141.218.60.56/~jnz1568/getInfo.php?workbook=14_06.xlsx&amp;sheet=U0&amp;row=4916&amp;col=7&amp;number=0.000303&amp;sourceID=14","0.000303")</f>
        <v>0.000303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HYPERLINK("http://141.218.60.56/~jnz1568/getInfo.php?workbook=14_06.xlsx&amp;sheet=U0&amp;row=4917&amp;col=6&amp;number=4.3&amp;sourceID=14","4.3")</f>
        <v>4.3</v>
      </c>
      <c r="G4917" s="4" t="str">
        <f>HYPERLINK("http://141.218.60.56/~jnz1568/getInfo.php?workbook=14_06.xlsx&amp;sheet=U0&amp;row=4917&amp;col=7&amp;number=0.000302&amp;sourceID=14","0.000302")</f>
        <v>0.000302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HYPERLINK("http://141.218.60.56/~jnz1568/getInfo.php?workbook=14_06.xlsx&amp;sheet=U0&amp;row=4918&amp;col=6&amp;number=4.4&amp;sourceID=14","4.4")</f>
        <v>4.4</v>
      </c>
      <c r="G4918" s="4" t="str">
        <f>HYPERLINK("http://141.218.60.56/~jnz1568/getInfo.php?workbook=14_06.xlsx&amp;sheet=U0&amp;row=4918&amp;col=7&amp;number=0.000302&amp;sourceID=14","0.000302")</f>
        <v>0.000302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HYPERLINK("http://141.218.60.56/~jnz1568/getInfo.php?workbook=14_06.xlsx&amp;sheet=U0&amp;row=4919&amp;col=6&amp;number=4.5&amp;sourceID=14","4.5")</f>
        <v>4.5</v>
      </c>
      <c r="G4919" s="4" t="str">
        <f>HYPERLINK("http://141.218.60.56/~jnz1568/getInfo.php?workbook=14_06.xlsx&amp;sheet=U0&amp;row=4919&amp;col=7&amp;number=0.000301&amp;sourceID=14","0.000301")</f>
        <v>0.000301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HYPERLINK("http://141.218.60.56/~jnz1568/getInfo.php?workbook=14_06.xlsx&amp;sheet=U0&amp;row=4920&amp;col=6&amp;number=4.6&amp;sourceID=14","4.6")</f>
        <v>4.6</v>
      </c>
      <c r="G4920" s="4" t="str">
        <f>HYPERLINK("http://141.218.60.56/~jnz1568/getInfo.php?workbook=14_06.xlsx&amp;sheet=U0&amp;row=4920&amp;col=7&amp;number=0.0003&amp;sourceID=14","0.0003")</f>
        <v>0.0003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HYPERLINK("http://141.218.60.56/~jnz1568/getInfo.php?workbook=14_06.xlsx&amp;sheet=U0&amp;row=4921&amp;col=6&amp;number=4.7&amp;sourceID=14","4.7")</f>
        <v>4.7</v>
      </c>
      <c r="G4921" s="4" t="str">
        <f>HYPERLINK("http://141.218.60.56/~jnz1568/getInfo.php?workbook=14_06.xlsx&amp;sheet=U0&amp;row=4921&amp;col=7&amp;number=0.000299&amp;sourceID=14","0.000299")</f>
        <v>0.000299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HYPERLINK("http://141.218.60.56/~jnz1568/getInfo.php?workbook=14_06.xlsx&amp;sheet=U0&amp;row=4922&amp;col=6&amp;number=4.8&amp;sourceID=14","4.8")</f>
        <v>4.8</v>
      </c>
      <c r="G4922" s="4" t="str">
        <f>HYPERLINK("http://141.218.60.56/~jnz1568/getInfo.php?workbook=14_06.xlsx&amp;sheet=U0&amp;row=4922&amp;col=7&amp;number=0.000298&amp;sourceID=14","0.000298")</f>
        <v>0.000298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HYPERLINK("http://141.218.60.56/~jnz1568/getInfo.php?workbook=14_06.xlsx&amp;sheet=U0&amp;row=4923&amp;col=6&amp;number=4.9&amp;sourceID=14","4.9")</f>
        <v>4.9</v>
      </c>
      <c r="G4923" s="4" t="str">
        <f>HYPERLINK("http://141.218.60.56/~jnz1568/getInfo.php?workbook=14_06.xlsx&amp;sheet=U0&amp;row=4923&amp;col=7&amp;number=0.000296&amp;sourceID=14","0.000296")</f>
        <v>0.000296</v>
      </c>
    </row>
    <row r="4924" spans="1:7">
      <c r="A4924" s="3">
        <v>14</v>
      </c>
      <c r="B4924" s="3">
        <v>6</v>
      </c>
      <c r="C4924" s="3">
        <v>6</v>
      </c>
      <c r="D4924" s="3">
        <v>42</v>
      </c>
      <c r="E4924" s="3">
        <v>1</v>
      </c>
      <c r="F4924" s="4" t="str">
        <f>HYPERLINK("http://141.218.60.56/~jnz1568/getInfo.php?workbook=14_06.xlsx&amp;sheet=U0&amp;row=4924&amp;col=6&amp;number=3&amp;sourceID=14","3")</f>
        <v>3</v>
      </c>
      <c r="G4924" s="4" t="str">
        <f>HYPERLINK("http://141.218.60.56/~jnz1568/getInfo.php?workbook=14_06.xlsx&amp;sheet=U0&amp;row=4924&amp;col=7&amp;number=0.000132&amp;sourceID=14","0.000132")</f>
        <v>0.000132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HYPERLINK("http://141.218.60.56/~jnz1568/getInfo.php?workbook=14_06.xlsx&amp;sheet=U0&amp;row=4925&amp;col=6&amp;number=3.1&amp;sourceID=14","3.1")</f>
        <v>3.1</v>
      </c>
      <c r="G4925" s="4" t="str">
        <f>HYPERLINK("http://141.218.60.56/~jnz1568/getInfo.php?workbook=14_06.xlsx&amp;sheet=U0&amp;row=4925&amp;col=7&amp;number=0.000132&amp;sourceID=14","0.000132")</f>
        <v>0.000132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HYPERLINK("http://141.218.60.56/~jnz1568/getInfo.php?workbook=14_06.xlsx&amp;sheet=U0&amp;row=4926&amp;col=6&amp;number=3.2&amp;sourceID=14","3.2")</f>
        <v>3.2</v>
      </c>
      <c r="G4926" s="4" t="str">
        <f>HYPERLINK("http://141.218.60.56/~jnz1568/getInfo.php?workbook=14_06.xlsx&amp;sheet=U0&amp;row=4926&amp;col=7&amp;number=0.000132&amp;sourceID=14","0.000132")</f>
        <v>0.000132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HYPERLINK("http://141.218.60.56/~jnz1568/getInfo.php?workbook=14_06.xlsx&amp;sheet=U0&amp;row=4927&amp;col=6&amp;number=3.3&amp;sourceID=14","3.3")</f>
        <v>3.3</v>
      </c>
      <c r="G4927" s="4" t="str">
        <f>HYPERLINK("http://141.218.60.56/~jnz1568/getInfo.php?workbook=14_06.xlsx&amp;sheet=U0&amp;row=4927&amp;col=7&amp;number=0.000132&amp;sourceID=14","0.000132")</f>
        <v>0.000132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HYPERLINK("http://141.218.60.56/~jnz1568/getInfo.php?workbook=14_06.xlsx&amp;sheet=U0&amp;row=4928&amp;col=6&amp;number=3.4&amp;sourceID=14","3.4")</f>
        <v>3.4</v>
      </c>
      <c r="G4928" s="4" t="str">
        <f>HYPERLINK("http://141.218.60.56/~jnz1568/getInfo.php?workbook=14_06.xlsx&amp;sheet=U0&amp;row=4928&amp;col=7&amp;number=0.000132&amp;sourceID=14","0.000132")</f>
        <v>0.000132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HYPERLINK("http://141.218.60.56/~jnz1568/getInfo.php?workbook=14_06.xlsx&amp;sheet=U0&amp;row=4929&amp;col=6&amp;number=3.5&amp;sourceID=14","3.5")</f>
        <v>3.5</v>
      </c>
      <c r="G4929" s="4" t="str">
        <f>HYPERLINK("http://141.218.60.56/~jnz1568/getInfo.php?workbook=14_06.xlsx&amp;sheet=U0&amp;row=4929&amp;col=7&amp;number=0.000132&amp;sourceID=14","0.000132")</f>
        <v>0.000132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HYPERLINK("http://141.218.60.56/~jnz1568/getInfo.php?workbook=14_06.xlsx&amp;sheet=U0&amp;row=4930&amp;col=6&amp;number=3.6&amp;sourceID=14","3.6")</f>
        <v>3.6</v>
      </c>
      <c r="G4930" s="4" t="str">
        <f>HYPERLINK("http://141.218.60.56/~jnz1568/getInfo.php?workbook=14_06.xlsx&amp;sheet=U0&amp;row=4930&amp;col=7&amp;number=0.000132&amp;sourceID=14","0.000132")</f>
        <v>0.000132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HYPERLINK("http://141.218.60.56/~jnz1568/getInfo.php?workbook=14_06.xlsx&amp;sheet=U0&amp;row=4931&amp;col=6&amp;number=3.7&amp;sourceID=14","3.7")</f>
        <v>3.7</v>
      </c>
      <c r="G4931" s="4" t="str">
        <f>HYPERLINK("http://141.218.60.56/~jnz1568/getInfo.php?workbook=14_06.xlsx&amp;sheet=U0&amp;row=4931&amp;col=7&amp;number=0.000132&amp;sourceID=14","0.000132")</f>
        <v>0.000132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HYPERLINK("http://141.218.60.56/~jnz1568/getInfo.php?workbook=14_06.xlsx&amp;sheet=U0&amp;row=4932&amp;col=6&amp;number=3.8&amp;sourceID=14","3.8")</f>
        <v>3.8</v>
      </c>
      <c r="G4932" s="4" t="str">
        <f>HYPERLINK("http://141.218.60.56/~jnz1568/getInfo.php?workbook=14_06.xlsx&amp;sheet=U0&amp;row=4932&amp;col=7&amp;number=0.000132&amp;sourceID=14","0.000132")</f>
        <v>0.000132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HYPERLINK("http://141.218.60.56/~jnz1568/getInfo.php?workbook=14_06.xlsx&amp;sheet=U0&amp;row=4933&amp;col=6&amp;number=3.9&amp;sourceID=14","3.9")</f>
        <v>3.9</v>
      </c>
      <c r="G4933" s="4" t="str">
        <f>HYPERLINK("http://141.218.60.56/~jnz1568/getInfo.php?workbook=14_06.xlsx&amp;sheet=U0&amp;row=4933&amp;col=7&amp;number=0.000132&amp;sourceID=14","0.000132")</f>
        <v>0.000132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HYPERLINK("http://141.218.60.56/~jnz1568/getInfo.php?workbook=14_06.xlsx&amp;sheet=U0&amp;row=4934&amp;col=6&amp;number=4&amp;sourceID=14","4")</f>
        <v>4</v>
      </c>
      <c r="G4934" s="4" t="str">
        <f>HYPERLINK("http://141.218.60.56/~jnz1568/getInfo.php?workbook=14_06.xlsx&amp;sheet=U0&amp;row=4934&amp;col=7&amp;number=0.000132&amp;sourceID=14","0.000132")</f>
        <v>0.000132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HYPERLINK("http://141.218.60.56/~jnz1568/getInfo.php?workbook=14_06.xlsx&amp;sheet=U0&amp;row=4935&amp;col=6&amp;number=4.1&amp;sourceID=14","4.1")</f>
        <v>4.1</v>
      </c>
      <c r="G4935" s="4" t="str">
        <f>HYPERLINK("http://141.218.60.56/~jnz1568/getInfo.php?workbook=14_06.xlsx&amp;sheet=U0&amp;row=4935&amp;col=7&amp;number=0.000131&amp;sourceID=14","0.000131")</f>
        <v>0.000131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HYPERLINK("http://141.218.60.56/~jnz1568/getInfo.php?workbook=14_06.xlsx&amp;sheet=U0&amp;row=4936&amp;col=6&amp;number=4.2&amp;sourceID=14","4.2")</f>
        <v>4.2</v>
      </c>
      <c r="G4936" s="4" t="str">
        <f>HYPERLINK("http://141.218.60.56/~jnz1568/getInfo.php?workbook=14_06.xlsx&amp;sheet=U0&amp;row=4936&amp;col=7&amp;number=0.000131&amp;sourceID=14","0.000131")</f>
        <v>0.000131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HYPERLINK("http://141.218.60.56/~jnz1568/getInfo.php?workbook=14_06.xlsx&amp;sheet=U0&amp;row=4937&amp;col=6&amp;number=4.3&amp;sourceID=14","4.3")</f>
        <v>4.3</v>
      </c>
      <c r="G4937" s="4" t="str">
        <f>HYPERLINK("http://141.218.60.56/~jnz1568/getInfo.php?workbook=14_06.xlsx&amp;sheet=U0&amp;row=4937&amp;col=7&amp;number=0.000131&amp;sourceID=14","0.000131")</f>
        <v>0.000131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HYPERLINK("http://141.218.60.56/~jnz1568/getInfo.php?workbook=14_06.xlsx&amp;sheet=U0&amp;row=4938&amp;col=6&amp;number=4.4&amp;sourceID=14","4.4")</f>
        <v>4.4</v>
      </c>
      <c r="G4938" s="4" t="str">
        <f>HYPERLINK("http://141.218.60.56/~jnz1568/getInfo.php?workbook=14_06.xlsx&amp;sheet=U0&amp;row=4938&amp;col=7&amp;number=0.000131&amp;sourceID=14","0.000131")</f>
        <v>0.000131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HYPERLINK("http://141.218.60.56/~jnz1568/getInfo.php?workbook=14_06.xlsx&amp;sheet=U0&amp;row=4939&amp;col=6&amp;number=4.5&amp;sourceID=14","4.5")</f>
        <v>4.5</v>
      </c>
      <c r="G4939" s="4" t="str">
        <f>HYPERLINK("http://141.218.60.56/~jnz1568/getInfo.php?workbook=14_06.xlsx&amp;sheet=U0&amp;row=4939&amp;col=7&amp;number=0.00013&amp;sourceID=14","0.00013")</f>
        <v>0.00013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HYPERLINK("http://141.218.60.56/~jnz1568/getInfo.php?workbook=14_06.xlsx&amp;sheet=U0&amp;row=4940&amp;col=6&amp;number=4.6&amp;sourceID=14","4.6")</f>
        <v>4.6</v>
      </c>
      <c r="G4940" s="4" t="str">
        <f>HYPERLINK("http://141.218.60.56/~jnz1568/getInfo.php?workbook=14_06.xlsx&amp;sheet=U0&amp;row=4940&amp;col=7&amp;number=0.00013&amp;sourceID=14","0.00013")</f>
        <v>0.00013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HYPERLINK("http://141.218.60.56/~jnz1568/getInfo.php?workbook=14_06.xlsx&amp;sheet=U0&amp;row=4941&amp;col=6&amp;number=4.7&amp;sourceID=14","4.7")</f>
        <v>4.7</v>
      </c>
      <c r="G4941" s="4" t="str">
        <f>HYPERLINK("http://141.218.60.56/~jnz1568/getInfo.php?workbook=14_06.xlsx&amp;sheet=U0&amp;row=4941&amp;col=7&amp;number=0.00013&amp;sourceID=14","0.00013")</f>
        <v>0.00013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HYPERLINK("http://141.218.60.56/~jnz1568/getInfo.php?workbook=14_06.xlsx&amp;sheet=U0&amp;row=4942&amp;col=6&amp;number=4.8&amp;sourceID=14","4.8")</f>
        <v>4.8</v>
      </c>
      <c r="G4942" s="4" t="str">
        <f>HYPERLINK("http://141.218.60.56/~jnz1568/getInfo.php?workbook=14_06.xlsx&amp;sheet=U0&amp;row=4942&amp;col=7&amp;number=0.000129&amp;sourceID=14","0.000129")</f>
        <v>0.000129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HYPERLINK("http://141.218.60.56/~jnz1568/getInfo.php?workbook=14_06.xlsx&amp;sheet=U0&amp;row=4943&amp;col=6&amp;number=4.9&amp;sourceID=14","4.9")</f>
        <v>4.9</v>
      </c>
      <c r="G4943" s="4" t="str">
        <f>HYPERLINK("http://141.218.60.56/~jnz1568/getInfo.php?workbook=14_06.xlsx&amp;sheet=U0&amp;row=4943&amp;col=7&amp;number=0.000128&amp;sourceID=14","0.000128")</f>
        <v>0.000128</v>
      </c>
    </row>
    <row r="4944" spans="1:7">
      <c r="A4944" s="3">
        <v>14</v>
      </c>
      <c r="B4944" s="3">
        <v>6</v>
      </c>
      <c r="C4944" s="3">
        <v>6</v>
      </c>
      <c r="D4944" s="3">
        <v>43</v>
      </c>
      <c r="E4944" s="3">
        <v>1</v>
      </c>
      <c r="F4944" s="4" t="str">
        <f>HYPERLINK("http://141.218.60.56/~jnz1568/getInfo.php?workbook=14_06.xlsx&amp;sheet=U0&amp;row=4944&amp;col=6&amp;number=3&amp;sourceID=14","3")</f>
        <v>3</v>
      </c>
      <c r="G4944" s="4" t="str">
        <f>HYPERLINK("http://141.218.60.56/~jnz1568/getInfo.php?workbook=14_06.xlsx&amp;sheet=U0&amp;row=4944&amp;col=7&amp;number=7.14e-05&amp;sourceID=14","7.14e-05")</f>
        <v>7.14e-05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HYPERLINK("http://141.218.60.56/~jnz1568/getInfo.php?workbook=14_06.xlsx&amp;sheet=U0&amp;row=4945&amp;col=6&amp;number=3.1&amp;sourceID=14","3.1")</f>
        <v>3.1</v>
      </c>
      <c r="G4945" s="4" t="str">
        <f>HYPERLINK("http://141.218.60.56/~jnz1568/getInfo.php?workbook=14_06.xlsx&amp;sheet=U0&amp;row=4945&amp;col=7&amp;number=7.14e-05&amp;sourceID=14","7.14e-05")</f>
        <v>7.14e-05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HYPERLINK("http://141.218.60.56/~jnz1568/getInfo.php?workbook=14_06.xlsx&amp;sheet=U0&amp;row=4946&amp;col=6&amp;number=3.2&amp;sourceID=14","3.2")</f>
        <v>3.2</v>
      </c>
      <c r="G4946" s="4" t="str">
        <f>HYPERLINK("http://141.218.60.56/~jnz1568/getInfo.php?workbook=14_06.xlsx&amp;sheet=U0&amp;row=4946&amp;col=7&amp;number=7.14e-05&amp;sourceID=14","7.14e-05")</f>
        <v>7.14e-05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HYPERLINK("http://141.218.60.56/~jnz1568/getInfo.php?workbook=14_06.xlsx&amp;sheet=U0&amp;row=4947&amp;col=6&amp;number=3.3&amp;sourceID=14","3.3")</f>
        <v>3.3</v>
      </c>
      <c r="G4947" s="4" t="str">
        <f>HYPERLINK("http://141.218.60.56/~jnz1568/getInfo.php?workbook=14_06.xlsx&amp;sheet=U0&amp;row=4947&amp;col=7&amp;number=7.14e-05&amp;sourceID=14","7.14e-05")</f>
        <v>7.14e-05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HYPERLINK("http://141.218.60.56/~jnz1568/getInfo.php?workbook=14_06.xlsx&amp;sheet=U0&amp;row=4948&amp;col=6&amp;number=3.4&amp;sourceID=14","3.4")</f>
        <v>3.4</v>
      </c>
      <c r="G4948" s="4" t="str">
        <f>HYPERLINK("http://141.218.60.56/~jnz1568/getInfo.php?workbook=14_06.xlsx&amp;sheet=U0&amp;row=4948&amp;col=7&amp;number=7.14e-05&amp;sourceID=14","7.14e-05")</f>
        <v>7.14e-05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HYPERLINK("http://141.218.60.56/~jnz1568/getInfo.php?workbook=14_06.xlsx&amp;sheet=U0&amp;row=4949&amp;col=6&amp;number=3.5&amp;sourceID=14","3.5")</f>
        <v>3.5</v>
      </c>
      <c r="G4949" s="4" t="str">
        <f>HYPERLINK("http://141.218.60.56/~jnz1568/getInfo.php?workbook=14_06.xlsx&amp;sheet=U0&amp;row=4949&amp;col=7&amp;number=7.14e-05&amp;sourceID=14","7.14e-05")</f>
        <v>7.14e-05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HYPERLINK("http://141.218.60.56/~jnz1568/getInfo.php?workbook=14_06.xlsx&amp;sheet=U0&amp;row=4950&amp;col=6&amp;number=3.6&amp;sourceID=14","3.6")</f>
        <v>3.6</v>
      </c>
      <c r="G4950" s="4" t="str">
        <f>HYPERLINK("http://141.218.60.56/~jnz1568/getInfo.php?workbook=14_06.xlsx&amp;sheet=U0&amp;row=4950&amp;col=7&amp;number=7.13e-05&amp;sourceID=14","7.13e-05")</f>
        <v>7.13e-05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HYPERLINK("http://141.218.60.56/~jnz1568/getInfo.php?workbook=14_06.xlsx&amp;sheet=U0&amp;row=4951&amp;col=6&amp;number=3.7&amp;sourceID=14","3.7")</f>
        <v>3.7</v>
      </c>
      <c r="G4951" s="4" t="str">
        <f>HYPERLINK("http://141.218.60.56/~jnz1568/getInfo.php?workbook=14_06.xlsx&amp;sheet=U0&amp;row=4951&amp;col=7&amp;number=7.13e-05&amp;sourceID=14","7.13e-05")</f>
        <v>7.13e-05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HYPERLINK("http://141.218.60.56/~jnz1568/getInfo.php?workbook=14_06.xlsx&amp;sheet=U0&amp;row=4952&amp;col=6&amp;number=3.8&amp;sourceID=14","3.8")</f>
        <v>3.8</v>
      </c>
      <c r="G4952" s="4" t="str">
        <f>HYPERLINK("http://141.218.60.56/~jnz1568/getInfo.php?workbook=14_06.xlsx&amp;sheet=U0&amp;row=4952&amp;col=7&amp;number=7.13e-05&amp;sourceID=14","7.13e-05")</f>
        <v>7.13e-05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HYPERLINK("http://141.218.60.56/~jnz1568/getInfo.php?workbook=14_06.xlsx&amp;sheet=U0&amp;row=4953&amp;col=6&amp;number=3.9&amp;sourceID=14","3.9")</f>
        <v>3.9</v>
      </c>
      <c r="G4953" s="4" t="str">
        <f>HYPERLINK("http://141.218.60.56/~jnz1568/getInfo.php?workbook=14_06.xlsx&amp;sheet=U0&amp;row=4953&amp;col=7&amp;number=7.12e-05&amp;sourceID=14","7.12e-05")</f>
        <v>7.12e-05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HYPERLINK("http://141.218.60.56/~jnz1568/getInfo.php?workbook=14_06.xlsx&amp;sheet=U0&amp;row=4954&amp;col=6&amp;number=4&amp;sourceID=14","4")</f>
        <v>4</v>
      </c>
      <c r="G4954" s="4" t="str">
        <f>HYPERLINK("http://141.218.60.56/~jnz1568/getInfo.php?workbook=14_06.xlsx&amp;sheet=U0&amp;row=4954&amp;col=7&amp;number=7.12e-05&amp;sourceID=14","7.12e-05")</f>
        <v>7.12e-05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HYPERLINK("http://141.218.60.56/~jnz1568/getInfo.php?workbook=14_06.xlsx&amp;sheet=U0&amp;row=4955&amp;col=6&amp;number=4.1&amp;sourceID=14","4.1")</f>
        <v>4.1</v>
      </c>
      <c r="G4955" s="4" t="str">
        <f>HYPERLINK("http://141.218.60.56/~jnz1568/getInfo.php?workbook=14_06.xlsx&amp;sheet=U0&amp;row=4955&amp;col=7&amp;number=7.11e-05&amp;sourceID=14","7.11e-05")</f>
        <v>7.11e-05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HYPERLINK("http://141.218.60.56/~jnz1568/getInfo.php?workbook=14_06.xlsx&amp;sheet=U0&amp;row=4956&amp;col=6&amp;number=4.2&amp;sourceID=14","4.2")</f>
        <v>4.2</v>
      </c>
      <c r="G4956" s="4" t="str">
        <f>HYPERLINK("http://141.218.60.56/~jnz1568/getInfo.php?workbook=14_06.xlsx&amp;sheet=U0&amp;row=4956&amp;col=7&amp;number=7.1e-05&amp;sourceID=14","7.1e-05")</f>
        <v>7.1e-05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HYPERLINK("http://141.218.60.56/~jnz1568/getInfo.php?workbook=14_06.xlsx&amp;sheet=U0&amp;row=4957&amp;col=6&amp;number=4.3&amp;sourceID=14","4.3")</f>
        <v>4.3</v>
      </c>
      <c r="G4957" s="4" t="str">
        <f>HYPERLINK("http://141.218.60.56/~jnz1568/getInfo.php?workbook=14_06.xlsx&amp;sheet=U0&amp;row=4957&amp;col=7&amp;number=7.09e-05&amp;sourceID=14","7.09e-05")</f>
        <v>7.09e-05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HYPERLINK("http://141.218.60.56/~jnz1568/getInfo.php?workbook=14_06.xlsx&amp;sheet=U0&amp;row=4958&amp;col=6&amp;number=4.4&amp;sourceID=14","4.4")</f>
        <v>4.4</v>
      </c>
      <c r="G4958" s="4" t="str">
        <f>HYPERLINK("http://141.218.60.56/~jnz1568/getInfo.php?workbook=14_06.xlsx&amp;sheet=U0&amp;row=4958&amp;col=7&amp;number=7.07e-05&amp;sourceID=14","7.07e-05")</f>
        <v>7.07e-05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HYPERLINK("http://141.218.60.56/~jnz1568/getInfo.php?workbook=14_06.xlsx&amp;sheet=U0&amp;row=4959&amp;col=6&amp;number=4.5&amp;sourceID=14","4.5")</f>
        <v>4.5</v>
      </c>
      <c r="G4959" s="4" t="str">
        <f>HYPERLINK("http://141.218.60.56/~jnz1568/getInfo.php?workbook=14_06.xlsx&amp;sheet=U0&amp;row=4959&amp;col=7&amp;number=7.06e-05&amp;sourceID=14","7.06e-05")</f>
        <v>7.06e-05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HYPERLINK("http://141.218.60.56/~jnz1568/getInfo.php?workbook=14_06.xlsx&amp;sheet=U0&amp;row=4960&amp;col=6&amp;number=4.6&amp;sourceID=14","4.6")</f>
        <v>4.6</v>
      </c>
      <c r="G4960" s="4" t="str">
        <f>HYPERLINK("http://141.218.60.56/~jnz1568/getInfo.php?workbook=14_06.xlsx&amp;sheet=U0&amp;row=4960&amp;col=7&amp;number=7.03e-05&amp;sourceID=14","7.03e-05")</f>
        <v>7.03e-05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HYPERLINK("http://141.218.60.56/~jnz1568/getInfo.php?workbook=14_06.xlsx&amp;sheet=U0&amp;row=4961&amp;col=6&amp;number=4.7&amp;sourceID=14","4.7")</f>
        <v>4.7</v>
      </c>
      <c r="G4961" s="4" t="str">
        <f>HYPERLINK("http://141.218.60.56/~jnz1568/getInfo.php?workbook=14_06.xlsx&amp;sheet=U0&amp;row=4961&amp;col=7&amp;number=7e-05&amp;sourceID=14","7e-05")</f>
        <v>7e-05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HYPERLINK("http://141.218.60.56/~jnz1568/getInfo.php?workbook=14_06.xlsx&amp;sheet=U0&amp;row=4962&amp;col=6&amp;number=4.8&amp;sourceID=14","4.8")</f>
        <v>4.8</v>
      </c>
      <c r="G4962" s="4" t="str">
        <f>HYPERLINK("http://141.218.60.56/~jnz1568/getInfo.php?workbook=14_06.xlsx&amp;sheet=U0&amp;row=4962&amp;col=7&amp;number=6.97e-05&amp;sourceID=14","6.97e-05")</f>
        <v>6.97e-05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HYPERLINK("http://141.218.60.56/~jnz1568/getInfo.php?workbook=14_06.xlsx&amp;sheet=U0&amp;row=4963&amp;col=6&amp;number=4.9&amp;sourceID=14","4.9")</f>
        <v>4.9</v>
      </c>
      <c r="G4963" s="4" t="str">
        <f>HYPERLINK("http://141.218.60.56/~jnz1568/getInfo.php?workbook=14_06.xlsx&amp;sheet=U0&amp;row=4963&amp;col=7&amp;number=6.92e-05&amp;sourceID=14","6.92e-05")</f>
        <v>6.92e-05</v>
      </c>
    </row>
    <row r="4964" spans="1:7">
      <c r="A4964" s="3">
        <v>14</v>
      </c>
      <c r="B4964" s="3">
        <v>6</v>
      </c>
      <c r="C4964" s="3">
        <v>6</v>
      </c>
      <c r="D4964" s="3">
        <v>44</v>
      </c>
      <c r="E4964" s="3">
        <v>1</v>
      </c>
      <c r="F4964" s="4" t="str">
        <f>HYPERLINK("http://141.218.60.56/~jnz1568/getInfo.php?workbook=14_06.xlsx&amp;sheet=U0&amp;row=4964&amp;col=6&amp;number=3&amp;sourceID=14","3")</f>
        <v>3</v>
      </c>
      <c r="G4964" s="4" t="str">
        <f>HYPERLINK("http://141.218.60.56/~jnz1568/getInfo.php?workbook=14_06.xlsx&amp;sheet=U0&amp;row=4964&amp;col=7&amp;number=2.18e-05&amp;sourceID=14","2.18e-05")</f>
        <v>2.18e-05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HYPERLINK("http://141.218.60.56/~jnz1568/getInfo.php?workbook=14_06.xlsx&amp;sheet=U0&amp;row=4965&amp;col=6&amp;number=3.1&amp;sourceID=14","3.1")</f>
        <v>3.1</v>
      </c>
      <c r="G4965" s="4" t="str">
        <f>HYPERLINK("http://141.218.60.56/~jnz1568/getInfo.php?workbook=14_06.xlsx&amp;sheet=U0&amp;row=4965&amp;col=7&amp;number=2.18e-05&amp;sourceID=14","2.18e-05")</f>
        <v>2.18e-05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HYPERLINK("http://141.218.60.56/~jnz1568/getInfo.php?workbook=14_06.xlsx&amp;sheet=U0&amp;row=4966&amp;col=6&amp;number=3.2&amp;sourceID=14","3.2")</f>
        <v>3.2</v>
      </c>
      <c r="G4966" s="4" t="str">
        <f>HYPERLINK("http://141.218.60.56/~jnz1568/getInfo.php?workbook=14_06.xlsx&amp;sheet=U0&amp;row=4966&amp;col=7&amp;number=2.18e-05&amp;sourceID=14","2.18e-05")</f>
        <v>2.18e-05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HYPERLINK("http://141.218.60.56/~jnz1568/getInfo.php?workbook=14_06.xlsx&amp;sheet=U0&amp;row=4967&amp;col=6&amp;number=3.3&amp;sourceID=14","3.3")</f>
        <v>3.3</v>
      </c>
      <c r="G4967" s="4" t="str">
        <f>HYPERLINK("http://141.218.60.56/~jnz1568/getInfo.php?workbook=14_06.xlsx&amp;sheet=U0&amp;row=4967&amp;col=7&amp;number=2.18e-05&amp;sourceID=14","2.18e-05")</f>
        <v>2.18e-05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HYPERLINK("http://141.218.60.56/~jnz1568/getInfo.php?workbook=14_06.xlsx&amp;sheet=U0&amp;row=4968&amp;col=6&amp;number=3.4&amp;sourceID=14","3.4")</f>
        <v>3.4</v>
      </c>
      <c r="G4968" s="4" t="str">
        <f>HYPERLINK("http://141.218.60.56/~jnz1568/getInfo.php?workbook=14_06.xlsx&amp;sheet=U0&amp;row=4968&amp;col=7&amp;number=2.18e-05&amp;sourceID=14","2.18e-05")</f>
        <v>2.18e-05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HYPERLINK("http://141.218.60.56/~jnz1568/getInfo.php?workbook=14_06.xlsx&amp;sheet=U0&amp;row=4969&amp;col=6&amp;number=3.5&amp;sourceID=14","3.5")</f>
        <v>3.5</v>
      </c>
      <c r="G4969" s="4" t="str">
        <f>HYPERLINK("http://141.218.60.56/~jnz1568/getInfo.php?workbook=14_06.xlsx&amp;sheet=U0&amp;row=4969&amp;col=7&amp;number=2.18e-05&amp;sourceID=14","2.18e-05")</f>
        <v>2.18e-05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HYPERLINK("http://141.218.60.56/~jnz1568/getInfo.php?workbook=14_06.xlsx&amp;sheet=U0&amp;row=4970&amp;col=6&amp;number=3.6&amp;sourceID=14","3.6")</f>
        <v>3.6</v>
      </c>
      <c r="G4970" s="4" t="str">
        <f>HYPERLINK("http://141.218.60.56/~jnz1568/getInfo.php?workbook=14_06.xlsx&amp;sheet=U0&amp;row=4970&amp;col=7&amp;number=2.18e-05&amp;sourceID=14","2.18e-05")</f>
        <v>2.18e-05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HYPERLINK("http://141.218.60.56/~jnz1568/getInfo.php?workbook=14_06.xlsx&amp;sheet=U0&amp;row=4971&amp;col=6&amp;number=3.7&amp;sourceID=14","3.7")</f>
        <v>3.7</v>
      </c>
      <c r="G4971" s="4" t="str">
        <f>HYPERLINK("http://141.218.60.56/~jnz1568/getInfo.php?workbook=14_06.xlsx&amp;sheet=U0&amp;row=4971&amp;col=7&amp;number=2.18e-05&amp;sourceID=14","2.18e-05")</f>
        <v>2.18e-05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HYPERLINK("http://141.218.60.56/~jnz1568/getInfo.php?workbook=14_06.xlsx&amp;sheet=U0&amp;row=4972&amp;col=6&amp;number=3.8&amp;sourceID=14","3.8")</f>
        <v>3.8</v>
      </c>
      <c r="G4972" s="4" t="str">
        <f>HYPERLINK("http://141.218.60.56/~jnz1568/getInfo.php?workbook=14_06.xlsx&amp;sheet=U0&amp;row=4972&amp;col=7&amp;number=2.18e-05&amp;sourceID=14","2.18e-05")</f>
        <v>2.18e-05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HYPERLINK("http://141.218.60.56/~jnz1568/getInfo.php?workbook=14_06.xlsx&amp;sheet=U0&amp;row=4973&amp;col=6&amp;number=3.9&amp;sourceID=14","3.9")</f>
        <v>3.9</v>
      </c>
      <c r="G4973" s="4" t="str">
        <f>HYPERLINK("http://141.218.60.56/~jnz1568/getInfo.php?workbook=14_06.xlsx&amp;sheet=U0&amp;row=4973&amp;col=7&amp;number=2.17e-05&amp;sourceID=14","2.17e-05")</f>
        <v>2.17e-05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HYPERLINK("http://141.218.60.56/~jnz1568/getInfo.php?workbook=14_06.xlsx&amp;sheet=U0&amp;row=4974&amp;col=6&amp;number=4&amp;sourceID=14","4")</f>
        <v>4</v>
      </c>
      <c r="G4974" s="4" t="str">
        <f>HYPERLINK("http://141.218.60.56/~jnz1568/getInfo.php?workbook=14_06.xlsx&amp;sheet=U0&amp;row=4974&amp;col=7&amp;number=2.17e-05&amp;sourceID=14","2.17e-05")</f>
        <v>2.17e-05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HYPERLINK("http://141.218.60.56/~jnz1568/getInfo.php?workbook=14_06.xlsx&amp;sheet=U0&amp;row=4975&amp;col=6&amp;number=4.1&amp;sourceID=14","4.1")</f>
        <v>4.1</v>
      </c>
      <c r="G4975" s="4" t="str">
        <f>HYPERLINK("http://141.218.60.56/~jnz1568/getInfo.php?workbook=14_06.xlsx&amp;sheet=U0&amp;row=4975&amp;col=7&amp;number=2.17e-05&amp;sourceID=14","2.17e-05")</f>
        <v>2.17e-05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HYPERLINK("http://141.218.60.56/~jnz1568/getInfo.php?workbook=14_06.xlsx&amp;sheet=U0&amp;row=4976&amp;col=6&amp;number=4.2&amp;sourceID=14","4.2")</f>
        <v>4.2</v>
      </c>
      <c r="G4976" s="4" t="str">
        <f>HYPERLINK("http://141.218.60.56/~jnz1568/getInfo.php?workbook=14_06.xlsx&amp;sheet=U0&amp;row=4976&amp;col=7&amp;number=2.17e-05&amp;sourceID=14","2.17e-05")</f>
        <v>2.17e-05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HYPERLINK("http://141.218.60.56/~jnz1568/getInfo.php?workbook=14_06.xlsx&amp;sheet=U0&amp;row=4977&amp;col=6&amp;number=4.3&amp;sourceID=14","4.3")</f>
        <v>4.3</v>
      </c>
      <c r="G4977" s="4" t="str">
        <f>HYPERLINK("http://141.218.60.56/~jnz1568/getInfo.php?workbook=14_06.xlsx&amp;sheet=U0&amp;row=4977&amp;col=7&amp;number=2.16e-05&amp;sourceID=14","2.16e-05")</f>
        <v>2.16e-05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HYPERLINK("http://141.218.60.56/~jnz1568/getInfo.php?workbook=14_06.xlsx&amp;sheet=U0&amp;row=4978&amp;col=6&amp;number=4.4&amp;sourceID=14","4.4")</f>
        <v>4.4</v>
      </c>
      <c r="G4978" s="4" t="str">
        <f>HYPERLINK("http://141.218.60.56/~jnz1568/getInfo.php?workbook=14_06.xlsx&amp;sheet=U0&amp;row=4978&amp;col=7&amp;number=2.16e-05&amp;sourceID=14","2.16e-05")</f>
        <v>2.16e-05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HYPERLINK("http://141.218.60.56/~jnz1568/getInfo.php?workbook=14_06.xlsx&amp;sheet=U0&amp;row=4979&amp;col=6&amp;number=4.5&amp;sourceID=14","4.5")</f>
        <v>4.5</v>
      </c>
      <c r="G4979" s="4" t="str">
        <f>HYPERLINK("http://141.218.60.56/~jnz1568/getInfo.php?workbook=14_06.xlsx&amp;sheet=U0&amp;row=4979&amp;col=7&amp;number=2.15e-05&amp;sourceID=14","2.15e-05")</f>
        <v>2.15e-05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HYPERLINK("http://141.218.60.56/~jnz1568/getInfo.php?workbook=14_06.xlsx&amp;sheet=U0&amp;row=4980&amp;col=6&amp;number=4.6&amp;sourceID=14","4.6")</f>
        <v>4.6</v>
      </c>
      <c r="G4980" s="4" t="str">
        <f>HYPERLINK("http://141.218.60.56/~jnz1568/getInfo.php?workbook=14_06.xlsx&amp;sheet=U0&amp;row=4980&amp;col=7&amp;number=2.15e-05&amp;sourceID=14","2.15e-05")</f>
        <v>2.15e-05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HYPERLINK("http://141.218.60.56/~jnz1568/getInfo.php?workbook=14_06.xlsx&amp;sheet=U0&amp;row=4981&amp;col=6&amp;number=4.7&amp;sourceID=14","4.7")</f>
        <v>4.7</v>
      </c>
      <c r="G4981" s="4" t="str">
        <f>HYPERLINK("http://141.218.60.56/~jnz1568/getInfo.php?workbook=14_06.xlsx&amp;sheet=U0&amp;row=4981&amp;col=7&amp;number=2.14e-05&amp;sourceID=14","2.14e-05")</f>
        <v>2.14e-05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HYPERLINK("http://141.218.60.56/~jnz1568/getInfo.php?workbook=14_06.xlsx&amp;sheet=U0&amp;row=4982&amp;col=6&amp;number=4.8&amp;sourceID=14","4.8")</f>
        <v>4.8</v>
      </c>
      <c r="G4982" s="4" t="str">
        <f>HYPERLINK("http://141.218.60.56/~jnz1568/getInfo.php?workbook=14_06.xlsx&amp;sheet=U0&amp;row=4982&amp;col=7&amp;number=2.13e-05&amp;sourceID=14","2.13e-05")</f>
        <v>2.13e-05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HYPERLINK("http://141.218.60.56/~jnz1568/getInfo.php?workbook=14_06.xlsx&amp;sheet=U0&amp;row=4983&amp;col=6&amp;number=4.9&amp;sourceID=14","4.9")</f>
        <v>4.9</v>
      </c>
      <c r="G4983" s="4" t="str">
        <f>HYPERLINK("http://141.218.60.56/~jnz1568/getInfo.php?workbook=14_06.xlsx&amp;sheet=U0&amp;row=4983&amp;col=7&amp;number=2.11e-05&amp;sourceID=14","2.11e-05")</f>
        <v>2.11e-05</v>
      </c>
    </row>
    <row r="4984" spans="1:7">
      <c r="A4984" s="3">
        <v>14</v>
      </c>
      <c r="B4984" s="3">
        <v>6</v>
      </c>
      <c r="C4984" s="3">
        <v>6</v>
      </c>
      <c r="D4984" s="3">
        <v>45</v>
      </c>
      <c r="E4984" s="3">
        <v>1</v>
      </c>
      <c r="F4984" s="4" t="str">
        <f>HYPERLINK("http://141.218.60.56/~jnz1568/getInfo.php?workbook=14_06.xlsx&amp;sheet=U0&amp;row=4984&amp;col=6&amp;number=3&amp;sourceID=14","3")</f>
        <v>3</v>
      </c>
      <c r="G4984" s="4" t="str">
        <f>HYPERLINK("http://141.218.60.56/~jnz1568/getInfo.php?workbook=14_06.xlsx&amp;sheet=U0&amp;row=4984&amp;col=7&amp;number=1.46e-06&amp;sourceID=14","1.46e-06")</f>
        <v>1.46e-06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HYPERLINK("http://141.218.60.56/~jnz1568/getInfo.php?workbook=14_06.xlsx&amp;sheet=U0&amp;row=4985&amp;col=6&amp;number=3.1&amp;sourceID=14","3.1")</f>
        <v>3.1</v>
      </c>
      <c r="G4985" s="4" t="str">
        <f>HYPERLINK("http://141.218.60.56/~jnz1568/getInfo.php?workbook=14_06.xlsx&amp;sheet=U0&amp;row=4985&amp;col=7&amp;number=1.46e-06&amp;sourceID=14","1.46e-06")</f>
        <v>1.46e-06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HYPERLINK("http://141.218.60.56/~jnz1568/getInfo.php?workbook=14_06.xlsx&amp;sheet=U0&amp;row=4986&amp;col=6&amp;number=3.2&amp;sourceID=14","3.2")</f>
        <v>3.2</v>
      </c>
      <c r="G4986" s="4" t="str">
        <f>HYPERLINK("http://141.218.60.56/~jnz1568/getInfo.php?workbook=14_06.xlsx&amp;sheet=U0&amp;row=4986&amp;col=7&amp;number=1.46e-06&amp;sourceID=14","1.46e-06")</f>
        <v>1.46e-06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HYPERLINK("http://141.218.60.56/~jnz1568/getInfo.php?workbook=14_06.xlsx&amp;sheet=U0&amp;row=4987&amp;col=6&amp;number=3.3&amp;sourceID=14","3.3")</f>
        <v>3.3</v>
      </c>
      <c r="G4987" s="4" t="str">
        <f>HYPERLINK("http://141.218.60.56/~jnz1568/getInfo.php?workbook=14_06.xlsx&amp;sheet=U0&amp;row=4987&amp;col=7&amp;number=1.46e-06&amp;sourceID=14","1.46e-06")</f>
        <v>1.46e-06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HYPERLINK("http://141.218.60.56/~jnz1568/getInfo.php?workbook=14_06.xlsx&amp;sheet=U0&amp;row=4988&amp;col=6&amp;number=3.4&amp;sourceID=14","3.4")</f>
        <v>3.4</v>
      </c>
      <c r="G4988" s="4" t="str">
        <f>HYPERLINK("http://141.218.60.56/~jnz1568/getInfo.php?workbook=14_06.xlsx&amp;sheet=U0&amp;row=4988&amp;col=7&amp;number=1.46e-06&amp;sourceID=14","1.46e-06")</f>
        <v>1.46e-06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HYPERLINK("http://141.218.60.56/~jnz1568/getInfo.php?workbook=14_06.xlsx&amp;sheet=U0&amp;row=4989&amp;col=6&amp;number=3.5&amp;sourceID=14","3.5")</f>
        <v>3.5</v>
      </c>
      <c r="G4989" s="4" t="str">
        <f>HYPERLINK("http://141.218.60.56/~jnz1568/getInfo.php?workbook=14_06.xlsx&amp;sheet=U0&amp;row=4989&amp;col=7&amp;number=1.46e-06&amp;sourceID=14","1.46e-06")</f>
        <v>1.46e-06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HYPERLINK("http://141.218.60.56/~jnz1568/getInfo.php?workbook=14_06.xlsx&amp;sheet=U0&amp;row=4990&amp;col=6&amp;number=3.6&amp;sourceID=14","3.6")</f>
        <v>3.6</v>
      </c>
      <c r="G4990" s="4" t="str">
        <f>HYPERLINK("http://141.218.60.56/~jnz1568/getInfo.php?workbook=14_06.xlsx&amp;sheet=U0&amp;row=4990&amp;col=7&amp;number=1.46e-06&amp;sourceID=14","1.46e-06")</f>
        <v>1.46e-06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HYPERLINK("http://141.218.60.56/~jnz1568/getInfo.php?workbook=14_06.xlsx&amp;sheet=U0&amp;row=4991&amp;col=6&amp;number=3.7&amp;sourceID=14","3.7")</f>
        <v>3.7</v>
      </c>
      <c r="G4991" s="4" t="str">
        <f>HYPERLINK("http://141.218.60.56/~jnz1568/getInfo.php?workbook=14_06.xlsx&amp;sheet=U0&amp;row=4991&amp;col=7&amp;number=1.46e-06&amp;sourceID=14","1.46e-06")</f>
        <v>1.46e-06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HYPERLINK("http://141.218.60.56/~jnz1568/getInfo.php?workbook=14_06.xlsx&amp;sheet=U0&amp;row=4992&amp;col=6&amp;number=3.8&amp;sourceID=14","3.8")</f>
        <v>3.8</v>
      </c>
      <c r="G4992" s="4" t="str">
        <f>HYPERLINK("http://141.218.60.56/~jnz1568/getInfo.php?workbook=14_06.xlsx&amp;sheet=U0&amp;row=4992&amp;col=7&amp;number=1.46e-06&amp;sourceID=14","1.46e-06")</f>
        <v>1.46e-06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HYPERLINK("http://141.218.60.56/~jnz1568/getInfo.php?workbook=14_06.xlsx&amp;sheet=U0&amp;row=4993&amp;col=6&amp;number=3.9&amp;sourceID=14","3.9")</f>
        <v>3.9</v>
      </c>
      <c r="G4993" s="4" t="str">
        <f>HYPERLINK("http://141.218.60.56/~jnz1568/getInfo.php?workbook=14_06.xlsx&amp;sheet=U0&amp;row=4993&amp;col=7&amp;number=1.46e-06&amp;sourceID=14","1.46e-06")</f>
        <v>1.46e-06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HYPERLINK("http://141.218.60.56/~jnz1568/getInfo.php?workbook=14_06.xlsx&amp;sheet=U0&amp;row=4994&amp;col=6&amp;number=4&amp;sourceID=14","4")</f>
        <v>4</v>
      </c>
      <c r="G4994" s="4" t="str">
        <f>HYPERLINK("http://141.218.60.56/~jnz1568/getInfo.php?workbook=14_06.xlsx&amp;sheet=U0&amp;row=4994&amp;col=7&amp;number=1.46e-06&amp;sourceID=14","1.46e-06")</f>
        <v>1.46e-06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HYPERLINK("http://141.218.60.56/~jnz1568/getInfo.php?workbook=14_06.xlsx&amp;sheet=U0&amp;row=4995&amp;col=6&amp;number=4.1&amp;sourceID=14","4.1")</f>
        <v>4.1</v>
      </c>
      <c r="G4995" s="4" t="str">
        <f>HYPERLINK("http://141.218.60.56/~jnz1568/getInfo.php?workbook=14_06.xlsx&amp;sheet=U0&amp;row=4995&amp;col=7&amp;number=1.45e-06&amp;sourceID=14","1.45e-06")</f>
        <v>1.45e-06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HYPERLINK("http://141.218.60.56/~jnz1568/getInfo.php?workbook=14_06.xlsx&amp;sheet=U0&amp;row=4996&amp;col=6&amp;number=4.2&amp;sourceID=14","4.2")</f>
        <v>4.2</v>
      </c>
      <c r="G4996" s="4" t="str">
        <f>HYPERLINK("http://141.218.60.56/~jnz1568/getInfo.php?workbook=14_06.xlsx&amp;sheet=U0&amp;row=4996&amp;col=7&amp;number=1.45e-06&amp;sourceID=14","1.45e-06")</f>
        <v>1.45e-06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HYPERLINK("http://141.218.60.56/~jnz1568/getInfo.php?workbook=14_06.xlsx&amp;sheet=U0&amp;row=4997&amp;col=6&amp;number=4.3&amp;sourceID=14","4.3")</f>
        <v>4.3</v>
      </c>
      <c r="G4997" s="4" t="str">
        <f>HYPERLINK("http://141.218.60.56/~jnz1568/getInfo.php?workbook=14_06.xlsx&amp;sheet=U0&amp;row=4997&amp;col=7&amp;number=1.45e-06&amp;sourceID=14","1.45e-06")</f>
        <v>1.45e-06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HYPERLINK("http://141.218.60.56/~jnz1568/getInfo.php?workbook=14_06.xlsx&amp;sheet=U0&amp;row=4998&amp;col=6&amp;number=4.4&amp;sourceID=14","4.4")</f>
        <v>4.4</v>
      </c>
      <c r="G4998" s="4" t="str">
        <f>HYPERLINK("http://141.218.60.56/~jnz1568/getInfo.php?workbook=14_06.xlsx&amp;sheet=U0&amp;row=4998&amp;col=7&amp;number=1.45e-06&amp;sourceID=14","1.45e-06")</f>
        <v>1.45e-06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HYPERLINK("http://141.218.60.56/~jnz1568/getInfo.php?workbook=14_06.xlsx&amp;sheet=U0&amp;row=4999&amp;col=6&amp;number=4.5&amp;sourceID=14","4.5")</f>
        <v>4.5</v>
      </c>
      <c r="G4999" s="4" t="str">
        <f>HYPERLINK("http://141.218.60.56/~jnz1568/getInfo.php?workbook=14_06.xlsx&amp;sheet=U0&amp;row=4999&amp;col=7&amp;number=1.44e-06&amp;sourceID=14","1.44e-06")</f>
        <v>1.44e-06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HYPERLINK("http://141.218.60.56/~jnz1568/getInfo.php?workbook=14_06.xlsx&amp;sheet=U0&amp;row=5000&amp;col=6&amp;number=4.6&amp;sourceID=14","4.6")</f>
        <v>4.6</v>
      </c>
      <c r="G5000" s="4" t="str">
        <f>HYPERLINK("http://141.218.60.56/~jnz1568/getInfo.php?workbook=14_06.xlsx&amp;sheet=U0&amp;row=5000&amp;col=7&amp;number=1.44e-06&amp;sourceID=14","1.44e-06")</f>
        <v>1.44e-06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HYPERLINK("http://141.218.60.56/~jnz1568/getInfo.php?workbook=14_06.xlsx&amp;sheet=U0&amp;row=5001&amp;col=6&amp;number=4.7&amp;sourceID=14","4.7")</f>
        <v>4.7</v>
      </c>
      <c r="G5001" s="4" t="str">
        <f>HYPERLINK("http://141.218.60.56/~jnz1568/getInfo.php?workbook=14_06.xlsx&amp;sheet=U0&amp;row=5001&amp;col=7&amp;number=1.43e-06&amp;sourceID=14","1.43e-06")</f>
        <v>1.43e-06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HYPERLINK("http://141.218.60.56/~jnz1568/getInfo.php?workbook=14_06.xlsx&amp;sheet=U0&amp;row=5002&amp;col=6&amp;number=4.8&amp;sourceID=14","4.8")</f>
        <v>4.8</v>
      </c>
      <c r="G5002" s="4" t="str">
        <f>HYPERLINK("http://141.218.60.56/~jnz1568/getInfo.php?workbook=14_06.xlsx&amp;sheet=U0&amp;row=5002&amp;col=7&amp;number=1.42e-06&amp;sourceID=14","1.42e-06")</f>
        <v>1.42e-06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HYPERLINK("http://141.218.60.56/~jnz1568/getInfo.php?workbook=14_06.xlsx&amp;sheet=U0&amp;row=5003&amp;col=6&amp;number=4.9&amp;sourceID=14","4.9")</f>
        <v>4.9</v>
      </c>
      <c r="G5003" s="4" t="str">
        <f>HYPERLINK("http://141.218.60.56/~jnz1568/getInfo.php?workbook=14_06.xlsx&amp;sheet=U0&amp;row=5003&amp;col=7&amp;number=1.41e-06&amp;sourceID=14","1.41e-06")</f>
        <v>1.41e-06</v>
      </c>
    </row>
    <row r="5004" spans="1:7">
      <c r="A5004" s="3">
        <v>14</v>
      </c>
      <c r="B5004" s="3">
        <v>6</v>
      </c>
      <c r="C5004" s="3">
        <v>6</v>
      </c>
      <c r="D5004" s="3">
        <v>46</v>
      </c>
      <c r="E5004" s="3">
        <v>1</v>
      </c>
      <c r="F5004" s="4" t="str">
        <f>HYPERLINK("http://141.218.60.56/~jnz1568/getInfo.php?workbook=14_06.xlsx&amp;sheet=U0&amp;row=5004&amp;col=6&amp;number=3&amp;sourceID=14","3")</f>
        <v>3</v>
      </c>
      <c r="G5004" s="4" t="str">
        <f>HYPERLINK("http://141.218.60.56/~jnz1568/getInfo.php?workbook=14_06.xlsx&amp;sheet=U0&amp;row=5004&amp;col=7&amp;number=1.46e-06&amp;sourceID=14","1.46e-06")</f>
        <v>1.46e-06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HYPERLINK("http://141.218.60.56/~jnz1568/getInfo.php?workbook=14_06.xlsx&amp;sheet=U0&amp;row=5005&amp;col=6&amp;number=3.1&amp;sourceID=14","3.1")</f>
        <v>3.1</v>
      </c>
      <c r="G5005" s="4" t="str">
        <f>HYPERLINK("http://141.218.60.56/~jnz1568/getInfo.php?workbook=14_06.xlsx&amp;sheet=U0&amp;row=5005&amp;col=7&amp;number=1.46e-06&amp;sourceID=14","1.46e-06")</f>
        <v>1.46e-06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HYPERLINK("http://141.218.60.56/~jnz1568/getInfo.php?workbook=14_06.xlsx&amp;sheet=U0&amp;row=5006&amp;col=6&amp;number=3.2&amp;sourceID=14","3.2")</f>
        <v>3.2</v>
      </c>
      <c r="G5006" s="4" t="str">
        <f>HYPERLINK("http://141.218.60.56/~jnz1568/getInfo.php?workbook=14_06.xlsx&amp;sheet=U0&amp;row=5006&amp;col=7&amp;number=1.46e-06&amp;sourceID=14","1.46e-06")</f>
        <v>1.46e-06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HYPERLINK("http://141.218.60.56/~jnz1568/getInfo.php?workbook=14_06.xlsx&amp;sheet=U0&amp;row=5007&amp;col=6&amp;number=3.3&amp;sourceID=14","3.3")</f>
        <v>3.3</v>
      </c>
      <c r="G5007" s="4" t="str">
        <f>HYPERLINK("http://141.218.60.56/~jnz1568/getInfo.php?workbook=14_06.xlsx&amp;sheet=U0&amp;row=5007&amp;col=7&amp;number=1.46e-06&amp;sourceID=14","1.46e-06")</f>
        <v>1.46e-06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HYPERLINK("http://141.218.60.56/~jnz1568/getInfo.php?workbook=14_06.xlsx&amp;sheet=U0&amp;row=5008&amp;col=6&amp;number=3.4&amp;sourceID=14","3.4")</f>
        <v>3.4</v>
      </c>
      <c r="G5008" s="4" t="str">
        <f>HYPERLINK("http://141.218.60.56/~jnz1568/getInfo.php?workbook=14_06.xlsx&amp;sheet=U0&amp;row=5008&amp;col=7&amp;number=1.46e-06&amp;sourceID=14","1.46e-06")</f>
        <v>1.46e-06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HYPERLINK("http://141.218.60.56/~jnz1568/getInfo.php?workbook=14_06.xlsx&amp;sheet=U0&amp;row=5009&amp;col=6&amp;number=3.5&amp;sourceID=14","3.5")</f>
        <v>3.5</v>
      </c>
      <c r="G5009" s="4" t="str">
        <f>HYPERLINK("http://141.218.60.56/~jnz1568/getInfo.php?workbook=14_06.xlsx&amp;sheet=U0&amp;row=5009&amp;col=7&amp;number=1.46e-06&amp;sourceID=14","1.46e-06")</f>
        <v>1.46e-06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HYPERLINK("http://141.218.60.56/~jnz1568/getInfo.php?workbook=14_06.xlsx&amp;sheet=U0&amp;row=5010&amp;col=6&amp;number=3.6&amp;sourceID=14","3.6")</f>
        <v>3.6</v>
      </c>
      <c r="G5010" s="4" t="str">
        <f>HYPERLINK("http://141.218.60.56/~jnz1568/getInfo.php?workbook=14_06.xlsx&amp;sheet=U0&amp;row=5010&amp;col=7&amp;number=1.46e-06&amp;sourceID=14","1.46e-06")</f>
        <v>1.46e-06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HYPERLINK("http://141.218.60.56/~jnz1568/getInfo.php?workbook=14_06.xlsx&amp;sheet=U0&amp;row=5011&amp;col=6&amp;number=3.7&amp;sourceID=14","3.7")</f>
        <v>3.7</v>
      </c>
      <c r="G5011" s="4" t="str">
        <f>HYPERLINK("http://141.218.60.56/~jnz1568/getInfo.php?workbook=14_06.xlsx&amp;sheet=U0&amp;row=5011&amp;col=7&amp;number=1.46e-06&amp;sourceID=14","1.46e-06")</f>
        <v>1.46e-06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HYPERLINK("http://141.218.60.56/~jnz1568/getInfo.php?workbook=14_06.xlsx&amp;sheet=U0&amp;row=5012&amp;col=6&amp;number=3.8&amp;sourceID=14","3.8")</f>
        <v>3.8</v>
      </c>
      <c r="G5012" s="4" t="str">
        <f>HYPERLINK("http://141.218.60.56/~jnz1568/getInfo.php?workbook=14_06.xlsx&amp;sheet=U0&amp;row=5012&amp;col=7&amp;number=1.46e-06&amp;sourceID=14","1.46e-06")</f>
        <v>1.46e-06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HYPERLINK("http://141.218.60.56/~jnz1568/getInfo.php?workbook=14_06.xlsx&amp;sheet=U0&amp;row=5013&amp;col=6&amp;number=3.9&amp;sourceID=14","3.9")</f>
        <v>3.9</v>
      </c>
      <c r="G5013" s="4" t="str">
        <f>HYPERLINK("http://141.218.60.56/~jnz1568/getInfo.php?workbook=14_06.xlsx&amp;sheet=U0&amp;row=5013&amp;col=7&amp;number=1.46e-06&amp;sourceID=14","1.46e-06")</f>
        <v>1.46e-06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HYPERLINK("http://141.218.60.56/~jnz1568/getInfo.php?workbook=14_06.xlsx&amp;sheet=U0&amp;row=5014&amp;col=6&amp;number=4&amp;sourceID=14","4")</f>
        <v>4</v>
      </c>
      <c r="G5014" s="4" t="str">
        <f>HYPERLINK("http://141.218.60.56/~jnz1568/getInfo.php?workbook=14_06.xlsx&amp;sheet=U0&amp;row=5014&amp;col=7&amp;number=1.46e-06&amp;sourceID=14","1.46e-06")</f>
        <v>1.46e-06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HYPERLINK("http://141.218.60.56/~jnz1568/getInfo.php?workbook=14_06.xlsx&amp;sheet=U0&amp;row=5015&amp;col=6&amp;number=4.1&amp;sourceID=14","4.1")</f>
        <v>4.1</v>
      </c>
      <c r="G5015" s="4" t="str">
        <f>HYPERLINK("http://141.218.60.56/~jnz1568/getInfo.php?workbook=14_06.xlsx&amp;sheet=U0&amp;row=5015&amp;col=7&amp;number=1.45e-06&amp;sourceID=14","1.45e-06")</f>
        <v>1.45e-06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HYPERLINK("http://141.218.60.56/~jnz1568/getInfo.php?workbook=14_06.xlsx&amp;sheet=U0&amp;row=5016&amp;col=6&amp;number=4.2&amp;sourceID=14","4.2")</f>
        <v>4.2</v>
      </c>
      <c r="G5016" s="4" t="str">
        <f>HYPERLINK("http://141.218.60.56/~jnz1568/getInfo.php?workbook=14_06.xlsx&amp;sheet=U0&amp;row=5016&amp;col=7&amp;number=1.45e-06&amp;sourceID=14","1.45e-06")</f>
        <v>1.45e-06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HYPERLINK("http://141.218.60.56/~jnz1568/getInfo.php?workbook=14_06.xlsx&amp;sheet=U0&amp;row=5017&amp;col=6&amp;number=4.3&amp;sourceID=14","4.3")</f>
        <v>4.3</v>
      </c>
      <c r="G5017" s="4" t="str">
        <f>HYPERLINK("http://141.218.60.56/~jnz1568/getInfo.php?workbook=14_06.xlsx&amp;sheet=U0&amp;row=5017&amp;col=7&amp;number=1.45e-06&amp;sourceID=14","1.45e-06")</f>
        <v>1.45e-06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HYPERLINK("http://141.218.60.56/~jnz1568/getInfo.php?workbook=14_06.xlsx&amp;sheet=U0&amp;row=5018&amp;col=6&amp;number=4.4&amp;sourceID=14","4.4")</f>
        <v>4.4</v>
      </c>
      <c r="G5018" s="4" t="str">
        <f>HYPERLINK("http://141.218.60.56/~jnz1568/getInfo.php?workbook=14_06.xlsx&amp;sheet=U0&amp;row=5018&amp;col=7&amp;number=1.45e-06&amp;sourceID=14","1.45e-06")</f>
        <v>1.45e-06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HYPERLINK("http://141.218.60.56/~jnz1568/getInfo.php?workbook=14_06.xlsx&amp;sheet=U0&amp;row=5019&amp;col=6&amp;number=4.5&amp;sourceID=14","4.5")</f>
        <v>4.5</v>
      </c>
      <c r="G5019" s="4" t="str">
        <f>HYPERLINK("http://141.218.60.56/~jnz1568/getInfo.php?workbook=14_06.xlsx&amp;sheet=U0&amp;row=5019&amp;col=7&amp;number=1.44e-06&amp;sourceID=14","1.44e-06")</f>
        <v>1.44e-06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HYPERLINK("http://141.218.60.56/~jnz1568/getInfo.php?workbook=14_06.xlsx&amp;sheet=U0&amp;row=5020&amp;col=6&amp;number=4.6&amp;sourceID=14","4.6")</f>
        <v>4.6</v>
      </c>
      <c r="G5020" s="4" t="str">
        <f>HYPERLINK("http://141.218.60.56/~jnz1568/getInfo.php?workbook=14_06.xlsx&amp;sheet=U0&amp;row=5020&amp;col=7&amp;number=1.44e-06&amp;sourceID=14","1.44e-06")</f>
        <v>1.44e-06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HYPERLINK("http://141.218.60.56/~jnz1568/getInfo.php?workbook=14_06.xlsx&amp;sheet=U0&amp;row=5021&amp;col=6&amp;number=4.7&amp;sourceID=14","4.7")</f>
        <v>4.7</v>
      </c>
      <c r="G5021" s="4" t="str">
        <f>HYPERLINK("http://141.218.60.56/~jnz1568/getInfo.php?workbook=14_06.xlsx&amp;sheet=U0&amp;row=5021&amp;col=7&amp;number=1.43e-06&amp;sourceID=14","1.43e-06")</f>
        <v>1.43e-06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HYPERLINK("http://141.218.60.56/~jnz1568/getInfo.php?workbook=14_06.xlsx&amp;sheet=U0&amp;row=5022&amp;col=6&amp;number=4.8&amp;sourceID=14","4.8")</f>
        <v>4.8</v>
      </c>
      <c r="G5022" s="4" t="str">
        <f>HYPERLINK("http://141.218.60.56/~jnz1568/getInfo.php?workbook=14_06.xlsx&amp;sheet=U0&amp;row=5022&amp;col=7&amp;number=1.42e-06&amp;sourceID=14","1.42e-06")</f>
        <v>1.42e-06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HYPERLINK("http://141.218.60.56/~jnz1568/getInfo.php?workbook=14_06.xlsx&amp;sheet=U0&amp;row=5023&amp;col=6&amp;number=4.9&amp;sourceID=14","4.9")</f>
        <v>4.9</v>
      </c>
      <c r="G5023" s="4" t="str">
        <f>HYPERLINK("http://141.218.60.56/~jnz1568/getInfo.php?workbook=14_06.xlsx&amp;sheet=U0&amp;row=5023&amp;col=7&amp;number=1.41e-06&amp;sourceID=14","1.41e-06")</f>
        <v>1.41e-06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2015-05-05T10:10:31Z</dcterms:created>
  <dcterms:modified xsi:type="dcterms:W3CDTF">2015-05-05T10:10:31Z</dcterms:modified>
</cp:coreProperties>
</file>